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8EE1E2DD-A08A-48C3-85B9-B5F480768AA0}" xr6:coauthVersionLast="47" xr6:coauthVersionMax="47" xr10:uidLastSave="{00000000-0000-0000-0000-000000000000}"/>
  <bookViews>
    <workbookView xWindow="-120" yWindow="-120" windowWidth="20730" windowHeight="11040" xr2:uid="{6E66E59A-2748-4115-B87B-2FD5FC59E96C}"/>
  </bookViews>
  <sheets>
    <sheet name="5.Kunjungan" sheetId="1" r:id="rId1"/>
  </sheets>
  <externalReferences>
    <externalReference r:id="rId2"/>
  </externalReferences>
  <definedNames>
    <definedName name="Z_17D7C177_D9B1_4DC1_9138_49FE7AC6BB29_.wvu.PrintArea" localSheetId="0">'5.Kunjungan'!$A$1:$H$103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K127" i="1"/>
  <c r="H127" i="1"/>
  <c r="E127" i="1"/>
  <c r="K126" i="1"/>
  <c r="H126" i="1"/>
  <c r="E126" i="1"/>
  <c r="K124" i="1"/>
  <c r="H124" i="1"/>
  <c r="E124" i="1"/>
  <c r="K123" i="1"/>
  <c r="H123" i="1"/>
  <c r="E123" i="1"/>
  <c r="K121" i="1"/>
  <c r="H121" i="1"/>
  <c r="E121" i="1"/>
  <c r="K120" i="1"/>
  <c r="H120" i="1"/>
  <c r="E120" i="1"/>
  <c r="K119" i="1"/>
  <c r="H119" i="1"/>
  <c r="E119" i="1"/>
  <c r="K118" i="1"/>
  <c r="H118" i="1"/>
  <c r="E118" i="1"/>
  <c r="K117" i="1"/>
  <c r="H117" i="1"/>
  <c r="E117" i="1"/>
  <c r="K116" i="1"/>
  <c r="H116" i="1"/>
  <c r="E116" i="1"/>
  <c r="K115" i="1"/>
  <c r="H115" i="1"/>
  <c r="E115" i="1"/>
  <c r="K114" i="1"/>
  <c r="K112" i="1" s="1"/>
  <c r="H114" i="1"/>
  <c r="E114" i="1"/>
  <c r="E112" i="1" s="1"/>
  <c r="K113" i="1"/>
  <c r="H113" i="1"/>
  <c r="H112" i="1" s="1"/>
  <c r="E113" i="1"/>
  <c r="J112" i="1"/>
  <c r="I112" i="1"/>
  <c r="G112" i="1"/>
  <c r="F112" i="1"/>
  <c r="D112" i="1"/>
  <c r="C112" i="1"/>
  <c r="C129" i="1" s="1"/>
  <c r="K110" i="1"/>
  <c r="H110" i="1"/>
  <c r="E110" i="1"/>
  <c r="K109" i="1"/>
  <c r="H109" i="1"/>
  <c r="E109" i="1"/>
  <c r="K108" i="1"/>
  <c r="H108" i="1"/>
  <c r="D108" i="1"/>
  <c r="E108" i="1" s="1"/>
  <c r="C108" i="1"/>
  <c r="K107" i="1"/>
  <c r="K106" i="1" s="1"/>
  <c r="H107" i="1"/>
  <c r="E107" i="1"/>
  <c r="J106" i="1"/>
  <c r="J129" i="1" s="1"/>
  <c r="I106" i="1"/>
  <c r="H106" i="1"/>
  <c r="G106" i="1"/>
  <c r="G129" i="1" s="1"/>
  <c r="F106" i="1"/>
  <c r="F129" i="1" s="1"/>
  <c r="C106" i="1"/>
  <c r="G104" i="1"/>
  <c r="K102" i="1"/>
  <c r="H102" i="1"/>
  <c r="E102" i="1"/>
  <c r="K101" i="1"/>
  <c r="H101" i="1"/>
  <c r="E101" i="1"/>
  <c r="K99" i="1"/>
  <c r="H99" i="1"/>
  <c r="E99" i="1"/>
  <c r="K98" i="1"/>
  <c r="H98" i="1"/>
  <c r="E98" i="1"/>
  <c r="K96" i="1"/>
  <c r="H96" i="1"/>
  <c r="E96" i="1"/>
  <c r="K95" i="1"/>
  <c r="H95" i="1"/>
  <c r="E95" i="1"/>
  <c r="K93" i="1"/>
  <c r="H93" i="1"/>
  <c r="E93" i="1"/>
  <c r="K92" i="1"/>
  <c r="H92" i="1"/>
  <c r="E92" i="1"/>
  <c r="K91" i="1"/>
  <c r="H91" i="1"/>
  <c r="E91" i="1"/>
  <c r="K90" i="1"/>
  <c r="H90" i="1"/>
  <c r="D90" i="1"/>
  <c r="C90" i="1"/>
  <c r="E90" i="1" s="1"/>
  <c r="K89" i="1"/>
  <c r="H89" i="1"/>
  <c r="E89" i="1"/>
  <c r="K88" i="1"/>
  <c r="H88" i="1"/>
  <c r="E88" i="1"/>
  <c r="C88" i="1"/>
  <c r="K87" i="1"/>
  <c r="H87" i="1"/>
  <c r="E87" i="1"/>
  <c r="K86" i="1"/>
  <c r="H86" i="1"/>
  <c r="E86" i="1"/>
  <c r="K85" i="1"/>
  <c r="H85" i="1"/>
  <c r="E85" i="1"/>
  <c r="K84" i="1"/>
  <c r="H84" i="1"/>
  <c r="E84" i="1"/>
  <c r="K83" i="1"/>
  <c r="H83" i="1"/>
  <c r="E83" i="1"/>
  <c r="D83" i="1"/>
  <c r="K82" i="1"/>
  <c r="H82" i="1"/>
  <c r="D82" i="1"/>
  <c r="C82" i="1"/>
  <c r="E82" i="1" s="1"/>
  <c r="K81" i="1"/>
  <c r="H81" i="1"/>
  <c r="D81" i="1"/>
  <c r="E81" i="1" s="1"/>
  <c r="C81" i="1"/>
  <c r="K80" i="1"/>
  <c r="H80" i="1"/>
  <c r="E80" i="1"/>
  <c r="D80" i="1"/>
  <c r="C80" i="1"/>
  <c r="K79" i="1"/>
  <c r="H79" i="1"/>
  <c r="D79" i="1"/>
  <c r="E79" i="1" s="1"/>
  <c r="C79" i="1"/>
  <c r="K78" i="1"/>
  <c r="H78" i="1"/>
  <c r="E78" i="1"/>
  <c r="K77" i="1"/>
  <c r="H77" i="1"/>
  <c r="D77" i="1"/>
  <c r="E77" i="1" s="1"/>
  <c r="C77" i="1"/>
  <c r="K76" i="1"/>
  <c r="H76" i="1"/>
  <c r="E76" i="1"/>
  <c r="D76" i="1"/>
  <c r="K75" i="1"/>
  <c r="H75" i="1"/>
  <c r="E75" i="1"/>
  <c r="K74" i="1"/>
  <c r="H74" i="1"/>
  <c r="E74" i="1"/>
  <c r="K73" i="1"/>
  <c r="H73" i="1"/>
  <c r="E73" i="1"/>
  <c r="D73" i="1"/>
  <c r="K72" i="1"/>
  <c r="H72" i="1"/>
  <c r="E72" i="1"/>
  <c r="D72" i="1"/>
  <c r="C72" i="1"/>
  <c r="K71" i="1"/>
  <c r="H71" i="1"/>
  <c r="E71" i="1"/>
  <c r="K70" i="1"/>
  <c r="H70" i="1"/>
  <c r="E70" i="1"/>
  <c r="K69" i="1"/>
  <c r="H69" i="1"/>
  <c r="D69" i="1"/>
  <c r="E69" i="1" s="1"/>
  <c r="C69" i="1"/>
  <c r="K68" i="1"/>
  <c r="H68" i="1"/>
  <c r="E68" i="1"/>
  <c r="D68" i="1"/>
  <c r="C68" i="1"/>
  <c r="K67" i="1"/>
  <c r="H67" i="1"/>
  <c r="D67" i="1"/>
  <c r="E67" i="1" s="1"/>
  <c r="C67" i="1"/>
  <c r="K66" i="1"/>
  <c r="H66" i="1"/>
  <c r="D66" i="1"/>
  <c r="C66" i="1"/>
  <c r="E66" i="1" s="1"/>
  <c r="K65" i="1"/>
  <c r="H65" i="1"/>
  <c r="D65" i="1"/>
  <c r="C65" i="1"/>
  <c r="E65" i="1" s="1"/>
  <c r="K64" i="1"/>
  <c r="H64" i="1"/>
  <c r="E64" i="1"/>
  <c r="K63" i="1"/>
  <c r="H63" i="1"/>
  <c r="D63" i="1"/>
  <c r="C63" i="1"/>
  <c r="E63" i="1" s="1"/>
  <c r="K62" i="1"/>
  <c r="H62" i="1"/>
  <c r="D62" i="1"/>
  <c r="C62" i="1"/>
  <c r="E62" i="1" s="1"/>
  <c r="K61" i="1"/>
  <c r="H61" i="1"/>
  <c r="E61" i="1"/>
  <c r="K60" i="1"/>
  <c r="H60" i="1"/>
  <c r="E60" i="1"/>
  <c r="K59" i="1"/>
  <c r="H59" i="1"/>
  <c r="E59" i="1"/>
  <c r="K58" i="1"/>
  <c r="H58" i="1"/>
  <c r="D58" i="1"/>
  <c r="C58" i="1"/>
  <c r="E58" i="1" s="1"/>
  <c r="K57" i="1"/>
  <c r="H57" i="1"/>
  <c r="D57" i="1"/>
  <c r="C57" i="1"/>
  <c r="E57" i="1" s="1"/>
  <c r="K56" i="1"/>
  <c r="H56" i="1"/>
  <c r="D56" i="1"/>
  <c r="C56" i="1"/>
  <c r="E56" i="1" s="1"/>
  <c r="K55" i="1"/>
  <c r="H55" i="1"/>
  <c r="D55" i="1"/>
  <c r="E55" i="1" s="1"/>
  <c r="C55" i="1"/>
  <c r="K54" i="1"/>
  <c r="H54" i="1"/>
  <c r="D54" i="1"/>
  <c r="C54" i="1"/>
  <c r="E54" i="1" s="1"/>
  <c r="K53" i="1"/>
  <c r="H53" i="1"/>
  <c r="D53" i="1"/>
  <c r="E53" i="1" s="1"/>
  <c r="C53" i="1"/>
  <c r="K52" i="1"/>
  <c r="H52" i="1"/>
  <c r="E52" i="1"/>
  <c r="D52" i="1"/>
  <c r="C52" i="1"/>
  <c r="K51" i="1"/>
  <c r="H51" i="1"/>
  <c r="D51" i="1"/>
  <c r="E51" i="1" s="1"/>
  <c r="C51" i="1"/>
  <c r="K50" i="1"/>
  <c r="H50" i="1"/>
  <c r="D50" i="1"/>
  <c r="D48" i="1" s="1"/>
  <c r="D104" i="1" s="1"/>
  <c r="C50" i="1"/>
  <c r="E50" i="1" s="1"/>
  <c r="E48" i="1" s="1"/>
  <c r="K49" i="1"/>
  <c r="H49" i="1"/>
  <c r="H48" i="1" s="1"/>
  <c r="E49" i="1"/>
  <c r="K48" i="1"/>
  <c r="J48" i="1"/>
  <c r="I48" i="1"/>
  <c r="G48" i="1"/>
  <c r="F48" i="1"/>
  <c r="C48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K39" i="1"/>
  <c r="H39" i="1"/>
  <c r="E39" i="1"/>
  <c r="K38" i="1"/>
  <c r="H38" i="1"/>
  <c r="E38" i="1"/>
  <c r="K37" i="1"/>
  <c r="H37" i="1"/>
  <c r="E37" i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E15" i="1" s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K15" i="1" s="1"/>
  <c r="K104" i="1" s="1"/>
  <c r="H16" i="1"/>
  <c r="H15" i="1" s="1"/>
  <c r="E16" i="1"/>
  <c r="J15" i="1"/>
  <c r="J104" i="1" s="1"/>
  <c r="J11" i="1" s="1"/>
  <c r="I15" i="1"/>
  <c r="I104" i="1" s="1"/>
  <c r="I11" i="1" s="1"/>
  <c r="G15" i="1"/>
  <c r="F15" i="1"/>
  <c r="F104" i="1" s="1"/>
  <c r="F11" i="1" s="1"/>
  <c r="F13" i="1" s="1"/>
  <c r="D15" i="1"/>
  <c r="C15" i="1"/>
  <c r="C104" i="1" s="1"/>
  <c r="C11" i="1" s="1"/>
  <c r="C13" i="1" s="1"/>
  <c r="H12" i="1"/>
  <c r="G12" i="1"/>
  <c r="F12" i="1"/>
  <c r="E12" i="1"/>
  <c r="D12" i="1"/>
  <c r="C12" i="1"/>
  <c r="F5" i="1"/>
  <c r="E5" i="1"/>
  <c r="F4" i="1"/>
  <c r="E4" i="1"/>
  <c r="K11" i="1" l="1"/>
  <c r="E106" i="1"/>
  <c r="E129" i="1" s="1"/>
  <c r="G11" i="1"/>
  <c r="G13" i="1" s="1"/>
  <c r="K129" i="1"/>
  <c r="E104" i="1"/>
  <c r="E11" i="1" s="1"/>
  <c r="E13" i="1" s="1"/>
  <c r="H129" i="1"/>
  <c r="H104" i="1"/>
  <c r="D106" i="1"/>
  <c r="D129" i="1" s="1"/>
  <c r="D11" i="1" s="1"/>
  <c r="D13" i="1" s="1"/>
  <c r="H11" i="1" l="1"/>
  <c r="H13" i="1" s="1"/>
</calcChain>
</file>

<file path=xl/sharedStrings.xml><?xml version="1.0" encoding="utf-8"?>
<sst xmlns="http://schemas.openxmlformats.org/spreadsheetml/2006/main" count="133" uniqueCount="121">
  <si>
    <t>TABEL  5</t>
  </si>
  <si>
    <t>JUMLAH KUNJUNGAN PASIEN BARU RAWAT JALAN, RAWAT INAP, DAN KUNJUNGAN GANGGUAN JIWA DI SARANA PELAYANAN KESEHATAN</t>
  </si>
  <si>
    <t>NO</t>
  </si>
  <si>
    <t>SARANA PELAYANAN KESEHATAN</t>
  </si>
  <si>
    <t>JUMLAH KUNJUNGAN</t>
  </si>
  <si>
    <t>KUNJUNGAN GANGGUAN JIWA</t>
  </si>
  <si>
    <t>RAWAT JALAN</t>
  </si>
  <si>
    <t>RAWAT INAP</t>
  </si>
  <si>
    <t>JUMLAH</t>
  </si>
  <si>
    <t>L</t>
  </si>
  <si>
    <t>P</t>
  </si>
  <si>
    <t>L+P</t>
  </si>
  <si>
    <t>JUMLAH PENDUDUK KAB/KOTA</t>
  </si>
  <si>
    <t>CAKUPAN KUNJUNGAN (%)</t>
  </si>
  <si>
    <t>A</t>
  </si>
  <si>
    <t>Fasilitas Pelayanan Kesehatan Tingkat Pertama</t>
  </si>
  <si>
    <t>Puskesmas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</si>
  <si>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</si>
  <si>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</si>
  <si>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</si>
  <si>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</si>
  <si>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</si>
  <si>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</si>
  <si>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</si>
  <si>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</si>
  <si>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</si>
  <si>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</si>
  <si>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</si>
  <si>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</si>
  <si>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</si>
  <si>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</si>
  <si>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</si>
  <si>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</si>
  <si>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</si>
  <si>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</si>
  <si>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</si>
  <si>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</si>
  <si>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</si>
  <si>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</si>
  <si>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</si>
  <si>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</si>
  <si>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Po. Utara</t>
  </si>
  <si>
    <t>Po. Selatan</t>
  </si>
  <si>
    <t>Babadan</t>
  </si>
  <si>
    <t>Jenangan</t>
  </si>
  <si>
    <t>Sukosari</t>
  </si>
  <si>
    <t>Setono</t>
  </si>
  <si>
    <t>Ngebel</t>
  </si>
  <si>
    <t>KLINIK</t>
  </si>
  <si>
    <t>Pringgo Husada</t>
  </si>
  <si>
    <t>Poliklinik Kesehatan 05.09.05 Ponorogo</t>
  </si>
  <si>
    <t>Klinik Permata Medika</t>
  </si>
  <si>
    <t>Klinik Pangestu</t>
  </si>
  <si>
    <t>s</t>
  </si>
  <si>
    <t>Klinik Al-Hikmah</t>
  </si>
  <si>
    <t>,</t>
  </si>
  <si>
    <t>Klinik Muhammadiyah Balong</t>
  </si>
  <si>
    <t>Klinik Margi Rahayu</t>
  </si>
  <si>
    <t>Klinik Rulia Medika</t>
  </si>
  <si>
    <t>Klinik Budi Asih</t>
  </si>
  <si>
    <t>Klinik Aisyiyah Jetis</t>
  </si>
  <si>
    <t>Klinik Mutiara Delima</t>
  </si>
  <si>
    <t>Klinik Harapan Bunda</t>
  </si>
  <si>
    <t>Naavagreen Natural Skin Care</t>
  </si>
  <si>
    <t>Klinik Premita</t>
  </si>
  <si>
    <t>Klinik EDI Husada</t>
  </si>
  <si>
    <t>Klinik Dan Apotek Melbod</t>
  </si>
  <si>
    <t>Amalia Husada</t>
  </si>
  <si>
    <t>Klinik Nazifa</t>
  </si>
  <si>
    <t>Nirmala Husada</t>
  </si>
  <si>
    <t>Klinik Polres Ponorogo</t>
  </si>
  <si>
    <t>Klinik Fauziah</t>
  </si>
  <si>
    <t>Idola Medical Centre</t>
  </si>
  <si>
    <t>Natasha Skin Clinik Center</t>
  </si>
  <si>
    <t>Prima Clinic</t>
  </si>
  <si>
    <t>Klinik Medis Dngok</t>
  </si>
  <si>
    <t>Larissa Aesthetic Center</t>
  </si>
  <si>
    <t>Esther House Of Beauty</t>
  </si>
  <si>
    <t>Callista Beauty Care</t>
  </si>
  <si>
    <t>Klinik Rumah Sehat Muhammadiyah</t>
  </si>
  <si>
    <t>Fajar Datari</t>
  </si>
  <si>
    <t>Amanah</t>
  </si>
  <si>
    <t>Klinik dr.Burhanudin</t>
  </si>
  <si>
    <t>Klinik Pratama Al-Manar Universitas Muhammadiyah Ponorogo</t>
  </si>
  <si>
    <t>Ngabar Clinic</t>
  </si>
  <si>
    <t>Kinaya Berkah Jaya</t>
  </si>
  <si>
    <t>MS Anti Aging &amp; Aesthetic Clinic</t>
  </si>
  <si>
    <t>Klinik Berkah Prima Medika</t>
  </si>
  <si>
    <t>Afifa</t>
  </si>
  <si>
    <t>Klinik Rumah Sehat Ervin</t>
  </si>
  <si>
    <t>Klinik Pratama Rutan Kelas IIB Ponorogo</t>
  </si>
  <si>
    <t>Inusa Aesthetic</t>
  </si>
  <si>
    <t>Klinik Alana</t>
  </si>
  <si>
    <t>Klinik Darul Falah</t>
  </si>
  <si>
    <t>Klinik Pratama Benings Ponorogo</t>
  </si>
  <si>
    <t>dst</t>
  </si>
  <si>
    <t>Praktik Mandiri Dokter</t>
  </si>
  <si>
    <t>Praktik Mandiri Dokter Gigi</t>
  </si>
  <si>
    <t>Praktik Mandiri Bidan</t>
  </si>
  <si>
    <t>SUB JUMLAH I</t>
  </si>
  <si>
    <t>B</t>
  </si>
  <si>
    <t>Fasilitas Pelayanan Kesehatan Tingkat Lanjut</t>
  </si>
  <si>
    <t>Klinik Utama</t>
  </si>
  <si>
    <t>Klinik Utama Ultra Medica</t>
  </si>
  <si>
    <t>Klinik Pramika</t>
  </si>
  <si>
    <t>Tenseiga Skin Clinic</t>
  </si>
  <si>
    <t>Klinik Sehati</t>
  </si>
  <si>
    <t>RS Umum</t>
  </si>
  <si>
    <t>RSUD Dr. Harjono S</t>
  </si>
  <si>
    <t>RSU Aisyiyah</t>
  </si>
  <si>
    <t>RSU Darmayu</t>
  </si>
  <si>
    <t>RSU Muslimat</t>
  </si>
  <si>
    <t>RSU Muhammadiyah</t>
  </si>
  <si>
    <t>RSU Griya Waluya</t>
  </si>
  <si>
    <t>RSU Yasyfin</t>
  </si>
  <si>
    <t>RSUD Bantarangin</t>
  </si>
  <si>
    <t>RS Khusus</t>
  </si>
  <si>
    <t>Praktik Mandiri Dokter Spesialis</t>
  </si>
  <si>
    <t>SUB JUMLAH II</t>
  </si>
  <si>
    <t>Sumber: - Bidang Pelayanan Kesehatan</t>
  </si>
  <si>
    <t>Catatan: Puskesmas non rawat inap hanya melayani kunjungan rawat jalan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</si>
</sst>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9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FF0000"/>
      <name val="Arial"/>
    </font>
    <font>
      <sz val="11"/>
      <name val="Calibri"/>
    </font>
    <font>
      <b/>
      <i/>
      <sz val="12"/>
      <color theme="1"/>
      <name val="Arial"/>
    </font>
    <font>
      <i/>
      <sz val="12"/>
      <color theme="1"/>
      <name val="Arial"/>
    </font>
    <font>
      <sz val="12"/>
      <color rgb="FF000000"/>
      <name val="Arial"/>
    </font>
    <font>
      <b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 tint="-0.14999847407452621"/>
        <bgColor rgb="FFC5E0B3"/>
      </patternFill>
    </fill>
    <fill>
      <patternFill patternType="solid">
        <fgColor theme="2" tint="-0.499984740745262"/>
        <bgColor rgb="FF7F7F7F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/>
    <xf numFmtId="0" fontId="1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37" fontId="1" fillId="2" borderId="11" xfId="0" applyNumberFormat="1" applyFont="1" applyFill="1" applyBorder="1" applyAlignment="1">
      <alignment vertical="center"/>
    </xf>
    <xf numFmtId="37" fontId="1" fillId="3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/>
    <xf numFmtId="0" fontId="4" fillId="4" borderId="13" xfId="0" applyFont="1" applyFill="1" applyBorder="1"/>
    <xf numFmtId="0" fontId="1" fillId="0" borderId="10" xfId="0" applyFont="1" applyBorder="1" applyAlignment="1">
      <alignment vertical="center"/>
    </xf>
    <xf numFmtId="164" fontId="1" fillId="2" borderId="10" xfId="0" applyNumberFormat="1" applyFont="1" applyFill="1" applyBorder="1" applyAlignment="1">
      <alignment vertical="center"/>
    </xf>
    <xf numFmtId="0" fontId="4" fillId="4" borderId="14" xfId="0" applyFont="1" applyFill="1" applyBorder="1"/>
    <xf numFmtId="0" fontId="4" fillId="4" borderId="15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37" fontId="1" fillId="0" borderId="10" xfId="0" applyNumberFormat="1" applyFont="1" applyBorder="1" applyAlignment="1">
      <alignment vertical="center"/>
    </xf>
    <xf numFmtId="0" fontId="7" fillId="5" borderId="11" xfId="0" applyFont="1" applyFill="1" applyBorder="1"/>
    <xf numFmtId="37" fontId="7" fillId="0" borderId="11" xfId="0" applyNumberFormat="1" applyFont="1" applyBorder="1" applyAlignment="1">
      <alignment horizontal="right"/>
    </xf>
    <xf numFmtId="37" fontId="7" fillId="0" borderId="9" xfId="0" applyNumberFormat="1" applyFont="1" applyBorder="1" applyAlignment="1">
      <alignment horizontal="right"/>
    </xf>
    <xf numFmtId="37" fontId="2" fillId="0" borderId="11" xfId="0" applyNumberFormat="1" applyFont="1" applyBorder="1" applyAlignment="1">
      <alignment vertical="center"/>
    </xf>
    <xf numFmtId="37" fontId="7" fillId="0" borderId="10" xfId="0" applyNumberFormat="1" applyFont="1" applyBorder="1" applyAlignment="1">
      <alignment horizontal="right"/>
    </xf>
    <xf numFmtId="37" fontId="7" fillId="0" borderId="15" xfId="0" applyNumberFormat="1" applyFont="1" applyBorder="1" applyAlignment="1">
      <alignment horizontal="right"/>
    </xf>
    <xf numFmtId="37" fontId="7" fillId="0" borderId="10" xfId="0" applyNumberFormat="1" applyFont="1" applyBorder="1"/>
    <xf numFmtId="37" fontId="7" fillId="0" borderId="15" xfId="0" applyNumberFormat="1" applyFont="1" applyBorder="1"/>
    <xf numFmtId="0" fontId="8" fillId="0" borderId="11" xfId="0" applyFont="1" applyBorder="1"/>
    <xf numFmtId="0" fontId="2" fillId="0" borderId="11" xfId="0" applyFont="1" applyBorder="1"/>
    <xf numFmtId="37" fontId="2" fillId="0" borderId="11" xfId="0" applyNumberFormat="1" applyFont="1" applyBorder="1" applyAlignment="1">
      <alignment horizontal="right"/>
    </xf>
    <xf numFmtId="37" fontId="2" fillId="0" borderId="11" xfId="0" applyNumberFormat="1" applyFont="1" applyBorder="1"/>
    <xf numFmtId="0" fontId="2" fillId="0" borderId="0" xfId="0" applyFont="1"/>
    <xf numFmtId="0" fontId="2" fillId="6" borderId="0" xfId="0" applyFont="1" applyFill="1"/>
    <xf numFmtId="0" fontId="2" fillId="6" borderId="0" xfId="0" applyFont="1" applyFill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37" fontId="2" fillId="2" borderId="11" xfId="0" applyNumberFormat="1" applyFont="1" applyFill="1" applyBorder="1" applyAlignment="1">
      <alignment vertical="center"/>
    </xf>
    <xf numFmtId="37" fontId="2" fillId="7" borderId="11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37" fontId="1" fillId="0" borderId="11" xfId="0" applyNumberFormat="1" applyFont="1" applyBorder="1" applyAlignment="1">
      <alignment vertical="center"/>
    </xf>
    <xf numFmtId="0" fontId="2" fillId="6" borderId="11" xfId="0" applyFont="1" applyFill="1" applyBorder="1"/>
    <xf numFmtId="0" fontId="7" fillId="5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C28">
            <v>479744</v>
          </cell>
          <cell r="D28">
            <v>483197</v>
          </cell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1204-A23E-4A6A-9F7F-0ED0CA4C8EAA}">
  <dimension ref="A1:AT1064"/>
  <sheetViews>
    <sheetView tabSelected="1" view="pageBreakPreview" zoomScale="60"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N101" sqref="N101"/>
    </sheetView>
  </sheetViews>
  <sheetFormatPr defaultColWidth="14.42578125" defaultRowHeight="15" customHeight="1"/>
  <cols>
    <col min="1" max="1" width="5.7109375" customWidth="1"/>
    <col min="2" max="2" width="44.7109375" customWidth="1"/>
    <col min="3" max="11" width="15.7109375" customWidth="1"/>
    <col min="12" max="46" width="9.140625" customWidth="1"/>
  </cols>
  <sheetData>
    <row r="1" spans="1:46" ht="15.7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5.7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15.75" customHeight="1">
      <c r="A4" s="7"/>
      <c r="B4" s="7"/>
      <c r="C4" s="7"/>
      <c r="D4" s="7"/>
      <c r="E4" s="8" t="str">
        <f>'[1]1. Luas Wilayah'!E5</f>
        <v>KABUPATEN</v>
      </c>
      <c r="F4" s="9" t="str">
        <f>'[1]1. Luas Wilayah'!F5</f>
        <v>PONOROGO</v>
      </c>
      <c r="G4" s="8"/>
      <c r="H4" s="8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15.75" customHeight="1">
      <c r="A5" s="7"/>
      <c r="B5" s="7"/>
      <c r="C5" s="7"/>
      <c r="D5" s="7"/>
      <c r="E5" s="8" t="str">
        <f>'[1]1. Luas Wilayah'!E6</f>
        <v>TAHUN</v>
      </c>
      <c r="F5" s="9">
        <f>'[1]1. Luas Wilayah'!F6</f>
        <v>2024</v>
      </c>
      <c r="G5" s="8"/>
      <c r="H5" s="8"/>
      <c r="I5" s="10"/>
      <c r="J5" s="10"/>
      <c r="K5" s="10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  <c r="Y5" s="2"/>
      <c r="Z5" s="11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15.75" customHeight="1" thickBo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9.5" customHeight="1">
      <c r="A7" s="12" t="s">
        <v>2</v>
      </c>
      <c r="B7" s="13" t="s">
        <v>3</v>
      </c>
      <c r="C7" s="14" t="s">
        <v>4</v>
      </c>
      <c r="D7" s="15"/>
      <c r="E7" s="15"/>
      <c r="F7" s="15"/>
      <c r="G7" s="15"/>
      <c r="H7" s="16"/>
      <c r="I7" s="17" t="s">
        <v>5</v>
      </c>
      <c r="J7" s="15"/>
      <c r="K7" s="16"/>
      <c r="L7" s="1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19.5" customHeight="1">
      <c r="A8" s="19"/>
      <c r="B8" s="19"/>
      <c r="C8" s="20" t="s">
        <v>6</v>
      </c>
      <c r="D8" s="21"/>
      <c r="E8" s="22"/>
      <c r="F8" s="20" t="s">
        <v>7</v>
      </c>
      <c r="G8" s="21"/>
      <c r="H8" s="22"/>
      <c r="I8" s="20" t="s">
        <v>8</v>
      </c>
      <c r="J8" s="21"/>
      <c r="K8" s="22"/>
      <c r="L8" s="1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9.5" customHeight="1">
      <c r="A9" s="23"/>
      <c r="B9" s="23"/>
      <c r="C9" s="24" t="s">
        <v>9</v>
      </c>
      <c r="D9" s="24" t="s">
        <v>10</v>
      </c>
      <c r="E9" s="24" t="s">
        <v>11</v>
      </c>
      <c r="F9" s="24" t="s">
        <v>9</v>
      </c>
      <c r="G9" s="24" t="s">
        <v>10</v>
      </c>
      <c r="H9" s="24" t="s">
        <v>11</v>
      </c>
      <c r="I9" s="24" t="s">
        <v>9</v>
      </c>
      <c r="J9" s="24" t="s">
        <v>10</v>
      </c>
      <c r="K9" s="24" t="s">
        <v>11</v>
      </c>
      <c r="L9" s="1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5.75" customHeight="1">
      <c r="A10" s="25">
        <v>1</v>
      </c>
      <c r="B10" s="25">
        <v>2</v>
      </c>
      <c r="C10" s="26">
        <v>3</v>
      </c>
      <c r="D10" s="25">
        <v>4</v>
      </c>
      <c r="E10" s="26">
        <v>5</v>
      </c>
      <c r="F10" s="25">
        <v>6</v>
      </c>
      <c r="G10" s="26">
        <v>7</v>
      </c>
      <c r="H10" s="25">
        <v>8</v>
      </c>
      <c r="I10" s="26">
        <v>9</v>
      </c>
      <c r="J10" s="25">
        <v>10</v>
      </c>
      <c r="K10" s="27">
        <v>11</v>
      </c>
      <c r="L10" s="1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5.75" customHeight="1">
      <c r="A11" s="28" t="s">
        <v>4</v>
      </c>
      <c r="B11" s="28"/>
      <c r="C11" s="29">
        <f t="shared" ref="C11:K11" si="0">C104+C129</f>
        <v>879583</v>
      </c>
      <c r="D11" s="29">
        <f t="shared" si="0"/>
        <v>1172358</v>
      </c>
      <c r="E11" s="29">
        <f t="shared" si="0"/>
        <v>2051941</v>
      </c>
      <c r="F11" s="29">
        <f t="shared" si="0"/>
        <v>42754</v>
      </c>
      <c r="G11" s="29">
        <f t="shared" si="0"/>
        <v>50581</v>
      </c>
      <c r="H11" s="29">
        <f t="shared" si="0"/>
        <v>93335</v>
      </c>
      <c r="I11" s="29">
        <f t="shared" si="0"/>
        <v>113771</v>
      </c>
      <c r="J11" s="29">
        <f t="shared" si="0"/>
        <v>128577</v>
      </c>
      <c r="K11" s="29">
        <f t="shared" si="0"/>
        <v>242348</v>
      </c>
      <c r="L11" s="1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5.75" customHeight="1">
      <c r="A12" s="28" t="s">
        <v>12</v>
      </c>
      <c r="B12" s="28"/>
      <c r="C12" s="29">
        <f>'[1]2. Jml Penduduk'!C28</f>
        <v>479744</v>
      </c>
      <c r="D12" s="29">
        <f>'[1]2. Jml Penduduk'!D28</f>
        <v>483197</v>
      </c>
      <c r="E12" s="29">
        <f>'[1]2. Jml Penduduk'!E28</f>
        <v>962941</v>
      </c>
      <c r="F12" s="29">
        <f>'[1]2. Jml Penduduk'!C28</f>
        <v>479744</v>
      </c>
      <c r="G12" s="29">
        <f>'[1]2. Jml Penduduk'!D28</f>
        <v>483197</v>
      </c>
      <c r="H12" s="29">
        <f>'[1]2. Jml Penduduk'!E28</f>
        <v>962941</v>
      </c>
      <c r="I12" s="30"/>
      <c r="J12" s="31"/>
      <c r="K12" s="32"/>
      <c r="L12" s="1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5.75" customHeight="1">
      <c r="A13" s="33" t="s">
        <v>13</v>
      </c>
      <c r="B13" s="33"/>
      <c r="C13" s="34">
        <f t="shared" ref="C13:H13" si="1">C11/C12*100</f>
        <v>183.34424192902881</v>
      </c>
      <c r="D13" s="34">
        <f t="shared" si="1"/>
        <v>242.62526464361324</v>
      </c>
      <c r="E13" s="34">
        <f t="shared" si="1"/>
        <v>213.09104088412477</v>
      </c>
      <c r="F13" s="34">
        <f t="shared" si="1"/>
        <v>8.9118363127001068</v>
      </c>
      <c r="G13" s="34">
        <f t="shared" si="1"/>
        <v>10.467987177072706</v>
      </c>
      <c r="H13" s="34">
        <f t="shared" si="1"/>
        <v>9.6927018373919065</v>
      </c>
      <c r="I13" s="35"/>
      <c r="J13" s="35"/>
      <c r="K13" s="36"/>
      <c r="L13" s="1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5.75" customHeight="1">
      <c r="A14" s="37" t="s">
        <v>14</v>
      </c>
      <c r="B14" s="38" t="s">
        <v>15</v>
      </c>
      <c r="C14" s="39"/>
      <c r="D14" s="40"/>
      <c r="E14" s="39"/>
      <c r="F14" s="40"/>
      <c r="G14" s="39"/>
      <c r="H14" s="40"/>
      <c r="I14" s="39"/>
      <c r="J14" s="40"/>
      <c r="K14" s="40"/>
      <c r="L14" s="1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5.75" customHeight="1">
      <c r="A15" s="41">
        <v>1</v>
      </c>
      <c r="B15" s="42" t="s">
        <v>16</v>
      </c>
      <c r="C15" s="43">
        <f t="shared" ref="C15:K15" si="2">SUM(C16:C46)</f>
        <v>376453</v>
      </c>
      <c r="D15" s="43">
        <f t="shared" si="2"/>
        <v>527412</v>
      </c>
      <c r="E15" s="43">
        <f t="shared" si="2"/>
        <v>903865</v>
      </c>
      <c r="F15" s="43">
        <f t="shared" si="2"/>
        <v>2846</v>
      </c>
      <c r="G15" s="43">
        <f t="shared" si="2"/>
        <v>3883</v>
      </c>
      <c r="H15" s="43">
        <f t="shared" si="2"/>
        <v>6729</v>
      </c>
      <c r="I15" s="43">
        <f t="shared" si="2"/>
        <v>5161</v>
      </c>
      <c r="J15" s="43">
        <f t="shared" si="2"/>
        <v>3653</v>
      </c>
      <c r="K15" s="43">
        <f t="shared" si="2"/>
        <v>8814</v>
      </c>
      <c r="L15" s="1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5.75">
      <c r="A16" s="41"/>
      <c r="B16" s="44" t="s">
        <v>17</v>
      </c>
      <c r="C16" s="45">
        <v>40785</v>
      </c>
      <c r="D16" s="46">
        <v>52033</v>
      </c>
      <c r="E16" s="47">
        <f t="shared" ref="E16:E46" si="3">SUM(C16:D16)</f>
        <v>92818</v>
      </c>
      <c r="F16" s="45">
        <v>427</v>
      </c>
      <c r="G16" s="46">
        <v>486</v>
      </c>
      <c r="H16" s="47">
        <f t="shared" ref="H16:H46" si="4">SUM(F16:G16)</f>
        <v>913</v>
      </c>
      <c r="I16" s="45">
        <v>180</v>
      </c>
      <c r="J16" s="46">
        <v>57</v>
      </c>
      <c r="K16" s="47">
        <f t="shared" ref="K16:K46" si="5">SUM(I16:J16)</f>
        <v>237</v>
      </c>
      <c r="L16" s="1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5.75">
      <c r="A17" s="41"/>
      <c r="B17" s="44" t="s">
        <v>18</v>
      </c>
      <c r="C17" s="48">
        <v>27355</v>
      </c>
      <c r="D17" s="49">
        <v>29747</v>
      </c>
      <c r="E17" s="47">
        <f t="shared" si="3"/>
        <v>57102</v>
      </c>
      <c r="F17" s="48">
        <v>288</v>
      </c>
      <c r="G17" s="49">
        <v>326</v>
      </c>
      <c r="H17" s="47">
        <f t="shared" si="4"/>
        <v>614</v>
      </c>
      <c r="I17" s="48">
        <v>205</v>
      </c>
      <c r="J17" s="49">
        <v>159</v>
      </c>
      <c r="K17" s="47">
        <f t="shared" si="5"/>
        <v>364</v>
      </c>
      <c r="L17" s="1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5.75">
      <c r="A18" s="41"/>
      <c r="B18" s="44" t="s">
        <v>19</v>
      </c>
      <c r="C18" s="48">
        <v>8225</v>
      </c>
      <c r="D18" s="49">
        <v>9989</v>
      </c>
      <c r="E18" s="47">
        <f t="shared" si="3"/>
        <v>18214</v>
      </c>
      <c r="F18" s="48">
        <v>64</v>
      </c>
      <c r="G18" s="49">
        <v>62</v>
      </c>
      <c r="H18" s="47">
        <f t="shared" si="4"/>
        <v>126</v>
      </c>
      <c r="I18" s="48">
        <v>23</v>
      </c>
      <c r="J18" s="49">
        <v>23</v>
      </c>
      <c r="K18" s="47">
        <f t="shared" si="5"/>
        <v>46</v>
      </c>
      <c r="L18" s="1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5.75">
      <c r="A19" s="41"/>
      <c r="B19" s="44" t="s">
        <v>20</v>
      </c>
      <c r="C19" s="48">
        <v>8930</v>
      </c>
      <c r="D19" s="49">
        <v>14214</v>
      </c>
      <c r="E19" s="47">
        <f t="shared" si="3"/>
        <v>23144</v>
      </c>
      <c r="F19" s="48">
        <v>65</v>
      </c>
      <c r="G19" s="49">
        <v>135</v>
      </c>
      <c r="H19" s="47">
        <f t="shared" si="4"/>
        <v>200</v>
      </c>
      <c r="I19" s="48">
        <v>180</v>
      </c>
      <c r="J19" s="49">
        <v>124</v>
      </c>
      <c r="K19" s="47">
        <f t="shared" si="5"/>
        <v>304</v>
      </c>
      <c r="L19" s="1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5.75">
      <c r="A20" s="41"/>
      <c r="B20" s="44" t="s">
        <v>21</v>
      </c>
      <c r="C20" s="48">
        <v>15160</v>
      </c>
      <c r="D20" s="49">
        <v>20786</v>
      </c>
      <c r="E20" s="47">
        <f t="shared" si="3"/>
        <v>35946</v>
      </c>
      <c r="F20" s="48">
        <v>198</v>
      </c>
      <c r="G20" s="49">
        <v>306</v>
      </c>
      <c r="H20" s="47">
        <f t="shared" si="4"/>
        <v>504</v>
      </c>
      <c r="I20" s="48">
        <v>173</v>
      </c>
      <c r="J20" s="49">
        <v>84</v>
      </c>
      <c r="K20" s="47">
        <f t="shared" si="5"/>
        <v>257</v>
      </c>
      <c r="L20" s="1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5.75">
      <c r="A21" s="41"/>
      <c r="B21" s="44" t="s">
        <v>22</v>
      </c>
      <c r="C21" s="48">
        <v>5725</v>
      </c>
      <c r="D21" s="49">
        <v>10105</v>
      </c>
      <c r="E21" s="47">
        <f t="shared" si="3"/>
        <v>15830</v>
      </c>
      <c r="F21" s="50">
        <v>0</v>
      </c>
      <c r="G21" s="51">
        <v>0</v>
      </c>
      <c r="H21" s="47">
        <f t="shared" si="4"/>
        <v>0</v>
      </c>
      <c r="I21" s="48">
        <v>213</v>
      </c>
      <c r="J21" s="49">
        <v>131</v>
      </c>
      <c r="K21" s="47">
        <f t="shared" si="5"/>
        <v>344</v>
      </c>
      <c r="L21" s="1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5.75">
      <c r="A22" s="41"/>
      <c r="B22" s="44" t="s">
        <v>23</v>
      </c>
      <c r="C22" s="48">
        <v>10452</v>
      </c>
      <c r="D22" s="49">
        <v>18480</v>
      </c>
      <c r="E22" s="47">
        <f t="shared" si="3"/>
        <v>28932</v>
      </c>
      <c r="F22" s="48">
        <v>194</v>
      </c>
      <c r="G22" s="49">
        <v>327</v>
      </c>
      <c r="H22" s="47">
        <f t="shared" si="4"/>
        <v>521</v>
      </c>
      <c r="I22" s="48">
        <v>56</v>
      </c>
      <c r="J22" s="49">
        <v>87</v>
      </c>
      <c r="K22" s="47">
        <f t="shared" si="5"/>
        <v>143</v>
      </c>
      <c r="L22" s="1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5.75">
      <c r="A23" s="41"/>
      <c r="B23" s="44" t="s">
        <v>24</v>
      </c>
      <c r="C23" s="48">
        <v>2696</v>
      </c>
      <c r="D23" s="49">
        <v>4032</v>
      </c>
      <c r="E23" s="47">
        <f t="shared" si="3"/>
        <v>6728</v>
      </c>
      <c r="F23" s="48">
        <v>0</v>
      </c>
      <c r="G23" s="49">
        <v>0</v>
      </c>
      <c r="H23" s="47">
        <f t="shared" si="4"/>
        <v>0</v>
      </c>
      <c r="I23" s="48">
        <v>65</v>
      </c>
      <c r="J23" s="49">
        <v>19</v>
      </c>
      <c r="K23" s="47">
        <f t="shared" si="5"/>
        <v>84</v>
      </c>
      <c r="L23" s="1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15.75">
      <c r="A24" s="41"/>
      <c r="B24" s="44" t="s">
        <v>25</v>
      </c>
      <c r="C24" s="48">
        <v>5769</v>
      </c>
      <c r="D24" s="49">
        <v>9316</v>
      </c>
      <c r="E24" s="47">
        <f t="shared" si="3"/>
        <v>15085</v>
      </c>
      <c r="F24" s="48">
        <v>136</v>
      </c>
      <c r="G24" s="49">
        <v>206</v>
      </c>
      <c r="H24" s="47">
        <f t="shared" si="4"/>
        <v>342</v>
      </c>
      <c r="I24" s="48">
        <v>133</v>
      </c>
      <c r="J24" s="49">
        <v>75</v>
      </c>
      <c r="K24" s="47">
        <f t="shared" si="5"/>
        <v>208</v>
      </c>
      <c r="L24" s="1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15.75">
      <c r="A25" s="41"/>
      <c r="B25" s="44" t="s">
        <v>26</v>
      </c>
      <c r="C25" s="48">
        <v>9881</v>
      </c>
      <c r="D25" s="49">
        <v>13317</v>
      </c>
      <c r="E25" s="47">
        <f t="shared" si="3"/>
        <v>23198</v>
      </c>
      <c r="F25" s="48">
        <v>35</v>
      </c>
      <c r="G25" s="49">
        <v>61</v>
      </c>
      <c r="H25" s="47">
        <f t="shared" si="4"/>
        <v>96</v>
      </c>
      <c r="I25" s="48">
        <v>12</v>
      </c>
      <c r="J25" s="49">
        <v>48</v>
      </c>
      <c r="K25" s="47">
        <f t="shared" si="5"/>
        <v>60</v>
      </c>
      <c r="L25" s="1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15.75">
      <c r="A26" s="41"/>
      <c r="B26" s="44" t="s">
        <v>27</v>
      </c>
      <c r="C26" s="48">
        <v>13437</v>
      </c>
      <c r="D26" s="49">
        <v>15894</v>
      </c>
      <c r="E26" s="47">
        <f t="shared" si="3"/>
        <v>29331</v>
      </c>
      <c r="F26" s="48">
        <v>317</v>
      </c>
      <c r="G26" s="49">
        <v>344</v>
      </c>
      <c r="H26" s="47">
        <f t="shared" si="4"/>
        <v>661</v>
      </c>
      <c r="I26" s="48">
        <v>162</v>
      </c>
      <c r="J26" s="49">
        <v>109</v>
      </c>
      <c r="K26" s="47">
        <f t="shared" si="5"/>
        <v>271</v>
      </c>
      <c r="L26" s="1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15.75">
      <c r="A27" s="41"/>
      <c r="B27" s="44" t="s">
        <v>28</v>
      </c>
      <c r="C27" s="48">
        <v>5110</v>
      </c>
      <c r="D27" s="49">
        <v>6903</v>
      </c>
      <c r="E27" s="47">
        <f t="shared" si="3"/>
        <v>12013</v>
      </c>
      <c r="F27" s="50">
        <v>0</v>
      </c>
      <c r="G27" s="51">
        <v>0</v>
      </c>
      <c r="H27" s="47">
        <f t="shared" si="4"/>
        <v>0</v>
      </c>
      <c r="I27" s="48">
        <v>36</v>
      </c>
      <c r="J27" s="49">
        <v>29</v>
      </c>
      <c r="K27" s="47">
        <f t="shared" si="5"/>
        <v>65</v>
      </c>
      <c r="L27" s="1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15.75">
      <c r="A28" s="41"/>
      <c r="B28" s="44" t="s">
        <v>29</v>
      </c>
      <c r="C28" s="48">
        <v>9843</v>
      </c>
      <c r="D28" s="49">
        <v>20451</v>
      </c>
      <c r="E28" s="47">
        <f t="shared" si="3"/>
        <v>30294</v>
      </c>
      <c r="F28" s="50">
        <v>0</v>
      </c>
      <c r="G28" s="51">
        <v>0</v>
      </c>
      <c r="H28" s="47">
        <f t="shared" si="4"/>
        <v>0</v>
      </c>
      <c r="I28" s="48">
        <v>255</v>
      </c>
      <c r="J28" s="49">
        <v>266</v>
      </c>
      <c r="K28" s="47">
        <f t="shared" si="5"/>
        <v>521</v>
      </c>
      <c r="L28" s="1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5.75">
      <c r="A29" s="41"/>
      <c r="B29" s="44" t="s">
        <v>30</v>
      </c>
      <c r="C29" s="48">
        <v>9543</v>
      </c>
      <c r="D29" s="49">
        <v>16073</v>
      </c>
      <c r="E29" s="47">
        <f t="shared" si="3"/>
        <v>25616</v>
      </c>
      <c r="F29" s="50">
        <v>0</v>
      </c>
      <c r="G29" s="51">
        <v>0</v>
      </c>
      <c r="H29" s="47">
        <f t="shared" si="4"/>
        <v>0</v>
      </c>
      <c r="I29" s="48">
        <v>175</v>
      </c>
      <c r="J29" s="49">
        <v>149</v>
      </c>
      <c r="K29" s="47">
        <f t="shared" si="5"/>
        <v>324</v>
      </c>
      <c r="L29" s="1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15.75">
      <c r="A30" s="41"/>
      <c r="B30" s="44" t="s">
        <v>31</v>
      </c>
      <c r="C30" s="48">
        <v>15358</v>
      </c>
      <c r="D30" s="49">
        <v>20522</v>
      </c>
      <c r="E30" s="47">
        <f t="shared" si="3"/>
        <v>35880</v>
      </c>
      <c r="F30" s="50">
        <v>0</v>
      </c>
      <c r="G30" s="51">
        <v>0</v>
      </c>
      <c r="H30" s="47">
        <f t="shared" si="4"/>
        <v>0</v>
      </c>
      <c r="I30" s="48">
        <v>48</v>
      </c>
      <c r="J30" s="49">
        <v>46</v>
      </c>
      <c r="K30" s="47">
        <f t="shared" si="5"/>
        <v>94</v>
      </c>
      <c r="L30" s="1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5.75">
      <c r="A31" s="41"/>
      <c r="B31" s="44" t="s">
        <v>32</v>
      </c>
      <c r="C31" s="48">
        <v>8946</v>
      </c>
      <c r="D31" s="49">
        <v>11625</v>
      </c>
      <c r="E31" s="47">
        <f t="shared" si="3"/>
        <v>20571</v>
      </c>
      <c r="F31" s="48">
        <v>102</v>
      </c>
      <c r="G31" s="49">
        <v>166</v>
      </c>
      <c r="H31" s="47">
        <f t="shared" si="4"/>
        <v>268</v>
      </c>
      <c r="I31" s="48">
        <v>235</v>
      </c>
      <c r="J31" s="49">
        <v>234</v>
      </c>
      <c r="K31" s="47">
        <f t="shared" si="5"/>
        <v>469</v>
      </c>
      <c r="L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5.75">
      <c r="A32" s="41"/>
      <c r="B32" s="44" t="s">
        <v>33</v>
      </c>
      <c r="C32" s="48">
        <v>12576</v>
      </c>
      <c r="D32" s="49">
        <v>16012</v>
      </c>
      <c r="E32" s="47">
        <f t="shared" si="3"/>
        <v>28588</v>
      </c>
      <c r="F32" s="48">
        <v>239</v>
      </c>
      <c r="G32" s="49">
        <v>329</v>
      </c>
      <c r="H32" s="47">
        <f t="shared" si="4"/>
        <v>568</v>
      </c>
      <c r="I32" s="48">
        <v>355</v>
      </c>
      <c r="J32" s="49">
        <v>319</v>
      </c>
      <c r="K32" s="47">
        <f t="shared" si="5"/>
        <v>674</v>
      </c>
      <c r="L32" s="1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15.75">
      <c r="A33" s="41"/>
      <c r="B33" s="44" t="s">
        <v>34</v>
      </c>
      <c r="C33" s="48">
        <v>10438</v>
      </c>
      <c r="D33" s="49">
        <v>14612</v>
      </c>
      <c r="E33" s="47">
        <f t="shared" si="3"/>
        <v>25050</v>
      </c>
      <c r="F33" s="48">
        <v>0</v>
      </c>
      <c r="G33" s="49">
        <v>0</v>
      </c>
      <c r="H33" s="47">
        <f t="shared" si="4"/>
        <v>0</v>
      </c>
      <c r="I33" s="48">
        <v>58</v>
      </c>
      <c r="J33" s="49">
        <v>47</v>
      </c>
      <c r="K33" s="47">
        <f t="shared" si="5"/>
        <v>105</v>
      </c>
      <c r="L33" s="1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5.75">
      <c r="A34" s="41"/>
      <c r="B34" s="44" t="s">
        <v>35</v>
      </c>
      <c r="C34" s="48">
        <v>6982</v>
      </c>
      <c r="D34" s="49">
        <v>10329</v>
      </c>
      <c r="E34" s="47">
        <f t="shared" si="3"/>
        <v>17311</v>
      </c>
      <c r="F34" s="48">
        <v>152</v>
      </c>
      <c r="G34" s="49">
        <v>188</v>
      </c>
      <c r="H34" s="47">
        <f t="shared" si="4"/>
        <v>340</v>
      </c>
      <c r="I34" s="48">
        <v>107</v>
      </c>
      <c r="J34" s="49">
        <v>44</v>
      </c>
      <c r="K34" s="47">
        <f t="shared" si="5"/>
        <v>151</v>
      </c>
      <c r="L34" s="1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ht="15.75">
      <c r="A35" s="41"/>
      <c r="B35" s="44" t="s">
        <v>36</v>
      </c>
      <c r="C35" s="48">
        <v>20449</v>
      </c>
      <c r="D35" s="49">
        <v>31189</v>
      </c>
      <c r="E35" s="47">
        <f t="shared" si="3"/>
        <v>51638</v>
      </c>
      <c r="F35" s="48">
        <v>68</v>
      </c>
      <c r="G35" s="49">
        <v>152</v>
      </c>
      <c r="H35" s="47">
        <f t="shared" si="4"/>
        <v>220</v>
      </c>
      <c r="I35" s="48">
        <v>461</v>
      </c>
      <c r="J35" s="49">
        <v>181</v>
      </c>
      <c r="K35" s="47">
        <f t="shared" si="5"/>
        <v>642</v>
      </c>
      <c r="L35" s="1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15.75">
      <c r="A36" s="41"/>
      <c r="B36" s="44" t="s">
        <v>37</v>
      </c>
      <c r="C36" s="48">
        <v>9631</v>
      </c>
      <c r="D36" s="49">
        <v>13031</v>
      </c>
      <c r="E36" s="47">
        <f t="shared" si="3"/>
        <v>22662</v>
      </c>
      <c r="F36" s="48">
        <v>75</v>
      </c>
      <c r="G36" s="49">
        <v>88</v>
      </c>
      <c r="H36" s="47">
        <f t="shared" si="4"/>
        <v>163</v>
      </c>
      <c r="I36" s="48">
        <v>146</v>
      </c>
      <c r="J36" s="49">
        <v>133</v>
      </c>
      <c r="K36" s="47">
        <f t="shared" si="5"/>
        <v>279</v>
      </c>
      <c r="L36" s="1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15.75">
      <c r="A37" s="41"/>
      <c r="B37" s="44" t="s">
        <v>38</v>
      </c>
      <c r="C37" s="48">
        <v>6392</v>
      </c>
      <c r="D37" s="49">
        <v>9589</v>
      </c>
      <c r="E37" s="47">
        <f t="shared" si="3"/>
        <v>15981</v>
      </c>
      <c r="F37" s="48">
        <v>52</v>
      </c>
      <c r="G37" s="49">
        <v>98</v>
      </c>
      <c r="H37" s="47">
        <f t="shared" si="4"/>
        <v>150</v>
      </c>
      <c r="I37" s="48">
        <v>32</v>
      </c>
      <c r="J37" s="49">
        <v>30</v>
      </c>
      <c r="K37" s="47">
        <f t="shared" si="5"/>
        <v>62</v>
      </c>
      <c r="L37" s="1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5.75">
      <c r="A38" s="41"/>
      <c r="B38" s="44" t="s">
        <v>39</v>
      </c>
      <c r="C38" s="48">
        <v>6437</v>
      </c>
      <c r="D38" s="49">
        <v>9955</v>
      </c>
      <c r="E38" s="47">
        <f t="shared" si="3"/>
        <v>16392</v>
      </c>
      <c r="F38" s="48">
        <v>0</v>
      </c>
      <c r="G38" s="49">
        <v>0</v>
      </c>
      <c r="H38" s="47">
        <f t="shared" si="4"/>
        <v>0</v>
      </c>
      <c r="I38" s="48">
        <v>31</v>
      </c>
      <c r="J38" s="49">
        <v>34</v>
      </c>
      <c r="K38" s="47">
        <f t="shared" si="5"/>
        <v>65</v>
      </c>
      <c r="L38" s="1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5.75">
      <c r="A39" s="41"/>
      <c r="B39" s="44" t="s">
        <v>40</v>
      </c>
      <c r="C39" s="48">
        <v>6879</v>
      </c>
      <c r="D39" s="49">
        <v>8450</v>
      </c>
      <c r="E39" s="47">
        <f t="shared" si="3"/>
        <v>15329</v>
      </c>
      <c r="F39" s="48">
        <v>0</v>
      </c>
      <c r="G39" s="49">
        <v>0</v>
      </c>
      <c r="H39" s="47">
        <f t="shared" si="4"/>
        <v>0</v>
      </c>
      <c r="I39" s="48">
        <v>60</v>
      </c>
      <c r="J39" s="49">
        <v>61</v>
      </c>
      <c r="K39" s="47">
        <f t="shared" si="5"/>
        <v>121</v>
      </c>
      <c r="L39" s="1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t="15.75">
      <c r="A40" s="41"/>
      <c r="B40" s="44" t="s">
        <v>41</v>
      </c>
      <c r="C40" s="48">
        <v>11139</v>
      </c>
      <c r="D40" s="49">
        <v>16209</v>
      </c>
      <c r="E40" s="47">
        <f t="shared" si="3"/>
        <v>27348</v>
      </c>
      <c r="F40" s="48">
        <v>0</v>
      </c>
      <c r="G40" s="49">
        <v>0</v>
      </c>
      <c r="H40" s="47">
        <f t="shared" si="4"/>
        <v>0</v>
      </c>
      <c r="I40" s="48">
        <v>322</v>
      </c>
      <c r="J40" s="49">
        <v>217</v>
      </c>
      <c r="K40" s="47">
        <f t="shared" si="5"/>
        <v>539</v>
      </c>
      <c r="L40" s="1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5.75">
      <c r="A41" s="41"/>
      <c r="B41" s="44" t="s">
        <v>42</v>
      </c>
      <c r="C41" s="48">
        <v>21143</v>
      </c>
      <c r="D41" s="49">
        <v>32980</v>
      </c>
      <c r="E41" s="47">
        <f t="shared" si="3"/>
        <v>54123</v>
      </c>
      <c r="F41" s="50">
        <v>0</v>
      </c>
      <c r="G41" s="51">
        <v>0</v>
      </c>
      <c r="H41" s="47">
        <f t="shared" si="4"/>
        <v>0</v>
      </c>
      <c r="I41" s="48">
        <v>45</v>
      </c>
      <c r="J41" s="49">
        <v>32</v>
      </c>
      <c r="K41" s="47">
        <f t="shared" si="5"/>
        <v>77</v>
      </c>
      <c r="L41" s="1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5.75">
      <c r="A42" s="41"/>
      <c r="B42" s="44" t="s">
        <v>43</v>
      </c>
      <c r="C42" s="48">
        <v>9490</v>
      </c>
      <c r="D42" s="49">
        <v>13681</v>
      </c>
      <c r="E42" s="47">
        <f t="shared" si="3"/>
        <v>23171</v>
      </c>
      <c r="F42" s="48">
        <v>27</v>
      </c>
      <c r="G42" s="49">
        <v>44</v>
      </c>
      <c r="H42" s="47">
        <f t="shared" si="4"/>
        <v>71</v>
      </c>
      <c r="I42" s="48">
        <v>424</v>
      </c>
      <c r="J42" s="49">
        <v>200</v>
      </c>
      <c r="K42" s="47">
        <f t="shared" si="5"/>
        <v>624</v>
      </c>
      <c r="L42" s="1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ht="15.75">
      <c r="A43" s="41"/>
      <c r="B43" s="44" t="s">
        <v>44</v>
      </c>
      <c r="C43" s="48">
        <v>13358</v>
      </c>
      <c r="D43" s="49">
        <v>16995</v>
      </c>
      <c r="E43" s="47">
        <f t="shared" si="3"/>
        <v>30353</v>
      </c>
      <c r="F43" s="48">
        <v>139</v>
      </c>
      <c r="G43" s="49">
        <v>166</v>
      </c>
      <c r="H43" s="47">
        <f t="shared" si="4"/>
        <v>305</v>
      </c>
      <c r="I43" s="48">
        <v>438</v>
      </c>
      <c r="J43" s="49">
        <v>339</v>
      </c>
      <c r="K43" s="47">
        <f t="shared" si="5"/>
        <v>777</v>
      </c>
      <c r="L43" s="1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ht="15.75">
      <c r="A44" s="41"/>
      <c r="B44" s="44" t="s">
        <v>45</v>
      </c>
      <c r="C44" s="48">
        <v>17109</v>
      </c>
      <c r="D44" s="49">
        <v>23426</v>
      </c>
      <c r="E44" s="47">
        <f t="shared" si="3"/>
        <v>40535</v>
      </c>
      <c r="F44" s="48">
        <v>0</v>
      </c>
      <c r="G44" s="49">
        <v>0</v>
      </c>
      <c r="H44" s="47">
        <f t="shared" si="4"/>
        <v>0</v>
      </c>
      <c r="I44" s="48">
        <v>277</v>
      </c>
      <c r="J44" s="49">
        <v>188</v>
      </c>
      <c r="K44" s="47">
        <f t="shared" si="5"/>
        <v>465</v>
      </c>
      <c r="L44" s="1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15.75">
      <c r="A45" s="41"/>
      <c r="B45" s="44" t="s">
        <v>46</v>
      </c>
      <c r="C45" s="48">
        <v>7220</v>
      </c>
      <c r="D45" s="49">
        <v>10625</v>
      </c>
      <c r="E45" s="47">
        <f t="shared" si="3"/>
        <v>17845</v>
      </c>
      <c r="F45" s="48">
        <v>0</v>
      </c>
      <c r="G45" s="49">
        <v>0</v>
      </c>
      <c r="H45" s="47">
        <f t="shared" si="4"/>
        <v>0</v>
      </c>
      <c r="I45" s="48">
        <v>237</v>
      </c>
      <c r="J45" s="49">
        <v>167</v>
      </c>
      <c r="K45" s="47">
        <f t="shared" si="5"/>
        <v>404</v>
      </c>
      <c r="L45" s="1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15.75">
      <c r="A46" s="41"/>
      <c r="B46" s="44" t="s">
        <v>47</v>
      </c>
      <c r="C46" s="48">
        <v>19995</v>
      </c>
      <c r="D46" s="49">
        <v>26842</v>
      </c>
      <c r="E46" s="47">
        <f t="shared" si="3"/>
        <v>46837</v>
      </c>
      <c r="F46" s="48">
        <v>268</v>
      </c>
      <c r="G46" s="49">
        <v>399</v>
      </c>
      <c r="H46" s="47">
        <f t="shared" si="4"/>
        <v>667</v>
      </c>
      <c r="I46" s="48">
        <v>17</v>
      </c>
      <c r="J46" s="49">
        <v>21</v>
      </c>
      <c r="K46" s="47">
        <f t="shared" si="5"/>
        <v>38</v>
      </c>
      <c r="L46" s="1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5.75">
      <c r="A47" s="41"/>
      <c r="B47" s="44"/>
      <c r="C47" s="43"/>
      <c r="D47" s="43"/>
      <c r="E47" s="43"/>
      <c r="F47" s="43"/>
      <c r="G47" s="43"/>
      <c r="H47" s="43"/>
      <c r="I47" s="43"/>
      <c r="J47" s="43"/>
      <c r="K47" s="43"/>
      <c r="L47" s="1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5.75">
      <c r="A48" s="41"/>
      <c r="B48" s="52" t="s">
        <v>48</v>
      </c>
      <c r="C48" s="43">
        <f t="shared" ref="C48:K48" si="6">SUM(C49:C93)</f>
        <v>133123</v>
      </c>
      <c r="D48" s="43">
        <f t="shared" si="6"/>
        <v>224430</v>
      </c>
      <c r="E48" s="43">
        <f t="shared" si="6"/>
        <v>357553</v>
      </c>
      <c r="F48" s="43">
        <f t="shared" si="6"/>
        <v>1309</v>
      </c>
      <c r="G48" s="43">
        <f t="shared" si="6"/>
        <v>1609</v>
      </c>
      <c r="H48" s="43">
        <f t="shared" si="6"/>
        <v>2918</v>
      </c>
      <c r="I48" s="43">
        <f t="shared" si="6"/>
        <v>0</v>
      </c>
      <c r="J48" s="43">
        <f t="shared" si="6"/>
        <v>0</v>
      </c>
      <c r="K48" s="43">
        <f t="shared" si="6"/>
        <v>0</v>
      </c>
      <c r="L48" s="1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15.75">
      <c r="A49" s="53"/>
      <c r="B49" s="53" t="s">
        <v>49</v>
      </c>
      <c r="C49" s="54">
        <v>4716</v>
      </c>
      <c r="D49" s="54">
        <v>7411</v>
      </c>
      <c r="E49" s="54">
        <f t="shared" ref="E49:E92" si="7">C49+D49</f>
        <v>12127</v>
      </c>
      <c r="F49" s="55">
        <v>0</v>
      </c>
      <c r="G49" s="55">
        <v>0</v>
      </c>
      <c r="H49" s="54">
        <f t="shared" ref="H49:H77" si="8">F49+G49</f>
        <v>0</v>
      </c>
      <c r="I49" s="55">
        <v>0</v>
      </c>
      <c r="J49" s="55">
        <v>0</v>
      </c>
      <c r="K49" s="55">
        <f t="shared" ref="K49:K93" si="9">SUM(I49:J49)</f>
        <v>0</v>
      </c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15.75">
      <c r="A50" s="53"/>
      <c r="B50" s="53" t="s">
        <v>50</v>
      </c>
      <c r="C50" s="54">
        <f>780+795</f>
        <v>1575</v>
      </c>
      <c r="D50" s="54">
        <f>773+799</f>
        <v>1572</v>
      </c>
      <c r="E50" s="54">
        <f t="shared" si="7"/>
        <v>3147</v>
      </c>
      <c r="F50" s="55">
        <v>0</v>
      </c>
      <c r="G50" s="55">
        <v>0</v>
      </c>
      <c r="H50" s="54">
        <f t="shared" si="8"/>
        <v>0</v>
      </c>
      <c r="I50" s="55">
        <v>0</v>
      </c>
      <c r="J50" s="55">
        <v>0</v>
      </c>
      <c r="K50" s="55">
        <f t="shared" si="9"/>
        <v>0</v>
      </c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15.75">
      <c r="A51" s="53"/>
      <c r="B51" s="53" t="s">
        <v>51</v>
      </c>
      <c r="C51" s="54">
        <f>2224+2687</f>
        <v>4911</v>
      </c>
      <c r="D51" s="54">
        <f>2364+2603</f>
        <v>4967</v>
      </c>
      <c r="E51" s="54">
        <f t="shared" si="7"/>
        <v>9878</v>
      </c>
      <c r="F51" s="55">
        <v>0</v>
      </c>
      <c r="G51" s="55">
        <v>0</v>
      </c>
      <c r="H51" s="54">
        <f t="shared" si="8"/>
        <v>0</v>
      </c>
      <c r="I51" s="55">
        <v>0</v>
      </c>
      <c r="J51" s="55">
        <v>0</v>
      </c>
      <c r="K51" s="55">
        <f t="shared" si="9"/>
        <v>0</v>
      </c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15.75">
      <c r="A52" s="53"/>
      <c r="B52" s="53" t="s">
        <v>52</v>
      </c>
      <c r="C52" s="54">
        <f>3684+7446</f>
        <v>11130</v>
      </c>
      <c r="D52" s="54">
        <f>3182+6731</f>
        <v>9913</v>
      </c>
      <c r="E52" s="54">
        <f t="shared" si="7"/>
        <v>21043</v>
      </c>
      <c r="F52" s="54">
        <v>378</v>
      </c>
      <c r="G52" s="54">
        <v>421</v>
      </c>
      <c r="H52" s="54">
        <f t="shared" si="8"/>
        <v>799</v>
      </c>
      <c r="I52" s="55">
        <v>0</v>
      </c>
      <c r="J52" s="55">
        <v>0</v>
      </c>
      <c r="K52" s="55">
        <f t="shared" si="9"/>
        <v>0</v>
      </c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 t="s">
        <v>53</v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15.75">
      <c r="A53" s="53"/>
      <c r="B53" s="53" t="s">
        <v>54</v>
      </c>
      <c r="C53" s="54">
        <f>2357+866+4373+1775</f>
        <v>9371</v>
      </c>
      <c r="D53" s="54">
        <f>1687+945+9012+26043</f>
        <v>37687</v>
      </c>
      <c r="E53" s="54">
        <f t="shared" si="7"/>
        <v>47058</v>
      </c>
      <c r="F53" s="54">
        <v>78</v>
      </c>
      <c r="G53" s="54">
        <v>123</v>
      </c>
      <c r="H53" s="54">
        <f t="shared" si="8"/>
        <v>201</v>
      </c>
      <c r="I53" s="55">
        <v>0</v>
      </c>
      <c r="J53" s="55">
        <v>0</v>
      </c>
      <c r="K53" s="55">
        <f t="shared" si="9"/>
        <v>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 t="s">
        <v>55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ht="15.75">
      <c r="A54" s="53"/>
      <c r="B54" s="53" t="s">
        <v>56</v>
      </c>
      <c r="C54" s="54">
        <f>647+594</f>
        <v>1241</v>
      </c>
      <c r="D54" s="54">
        <f>460+590</f>
        <v>1050</v>
      </c>
      <c r="E54" s="54">
        <f t="shared" si="7"/>
        <v>2291</v>
      </c>
      <c r="F54" s="55">
        <v>0</v>
      </c>
      <c r="G54" s="55">
        <v>0</v>
      </c>
      <c r="H54" s="54">
        <f t="shared" si="8"/>
        <v>0</v>
      </c>
      <c r="I54" s="55">
        <v>0</v>
      </c>
      <c r="J54" s="55">
        <v>0</v>
      </c>
      <c r="K54" s="55">
        <f t="shared" si="9"/>
        <v>0</v>
      </c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46" ht="15.75">
      <c r="A55" s="53"/>
      <c r="B55" s="53" t="s">
        <v>57</v>
      </c>
      <c r="C55" s="54">
        <f>2495+3498</f>
        <v>5993</v>
      </c>
      <c r="D55" s="54">
        <f>2383+3181</f>
        <v>5564</v>
      </c>
      <c r="E55" s="54">
        <f t="shared" si="7"/>
        <v>11557</v>
      </c>
      <c r="F55" s="55">
        <v>0</v>
      </c>
      <c r="G55" s="55">
        <v>0</v>
      </c>
      <c r="H55" s="54">
        <f t="shared" si="8"/>
        <v>0</v>
      </c>
      <c r="I55" s="55">
        <v>0</v>
      </c>
      <c r="J55" s="55">
        <v>0</v>
      </c>
      <c r="K55" s="55">
        <f t="shared" si="9"/>
        <v>0</v>
      </c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1:46" ht="15.75">
      <c r="A56" s="53"/>
      <c r="B56" s="53" t="s">
        <v>58</v>
      </c>
      <c r="C56" s="54">
        <f>6874+5589</f>
        <v>12463</v>
      </c>
      <c r="D56" s="54">
        <f>9467+8205</f>
        <v>17672</v>
      </c>
      <c r="E56" s="54">
        <f t="shared" si="7"/>
        <v>30135</v>
      </c>
      <c r="F56" s="55">
        <v>0</v>
      </c>
      <c r="G56" s="55">
        <v>0</v>
      </c>
      <c r="H56" s="54">
        <f t="shared" si="8"/>
        <v>0</v>
      </c>
      <c r="I56" s="55">
        <v>0</v>
      </c>
      <c r="J56" s="55">
        <v>0</v>
      </c>
      <c r="K56" s="55">
        <f t="shared" si="9"/>
        <v>0</v>
      </c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46" ht="15.75">
      <c r="A57" s="53"/>
      <c r="B57" s="53" t="s">
        <v>59</v>
      </c>
      <c r="C57" s="54">
        <f>1364+4903</f>
        <v>6267</v>
      </c>
      <c r="D57" s="54">
        <f>1459+5849</f>
        <v>7308</v>
      </c>
      <c r="E57" s="54">
        <f t="shared" si="7"/>
        <v>13575</v>
      </c>
      <c r="F57" s="54">
        <v>216</v>
      </c>
      <c r="G57" s="54">
        <v>238</v>
      </c>
      <c r="H57" s="54">
        <f t="shared" si="8"/>
        <v>454</v>
      </c>
      <c r="I57" s="55">
        <v>0</v>
      </c>
      <c r="J57" s="55">
        <v>0</v>
      </c>
      <c r="K57" s="55">
        <f t="shared" si="9"/>
        <v>0</v>
      </c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 ht="15.75">
      <c r="A58" s="53"/>
      <c r="B58" s="53" t="s">
        <v>60</v>
      </c>
      <c r="C58" s="54">
        <f>1890+4547</f>
        <v>6437</v>
      </c>
      <c r="D58" s="54">
        <f>2799+4661</f>
        <v>7460</v>
      </c>
      <c r="E58" s="54">
        <f t="shared" si="7"/>
        <v>13897</v>
      </c>
      <c r="F58" s="54">
        <v>30</v>
      </c>
      <c r="G58" s="54">
        <v>57</v>
      </c>
      <c r="H58" s="54">
        <f t="shared" si="8"/>
        <v>87</v>
      </c>
      <c r="I58" s="55">
        <v>0</v>
      </c>
      <c r="J58" s="55">
        <v>0</v>
      </c>
      <c r="K58" s="55">
        <f t="shared" si="9"/>
        <v>0</v>
      </c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6" ht="15.75">
      <c r="A59" s="53"/>
      <c r="B59" s="53" t="s">
        <v>61</v>
      </c>
      <c r="C59" s="54">
        <v>8505</v>
      </c>
      <c r="D59" s="54">
        <v>9968</v>
      </c>
      <c r="E59" s="54">
        <f t="shared" si="7"/>
        <v>18473</v>
      </c>
      <c r="F59" s="54">
        <v>209</v>
      </c>
      <c r="G59" s="54">
        <v>222</v>
      </c>
      <c r="H59" s="54">
        <f t="shared" si="8"/>
        <v>431</v>
      </c>
      <c r="I59" s="55">
        <v>0</v>
      </c>
      <c r="J59" s="55">
        <v>0</v>
      </c>
      <c r="K59" s="55">
        <f t="shared" si="9"/>
        <v>0</v>
      </c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6" ht="15.75">
      <c r="A60" s="53"/>
      <c r="B60" s="53" t="s">
        <v>62</v>
      </c>
      <c r="C60" s="54">
        <v>3479</v>
      </c>
      <c r="D60" s="54">
        <v>4525</v>
      </c>
      <c r="E60" s="54">
        <f t="shared" si="7"/>
        <v>8004</v>
      </c>
      <c r="F60" s="54">
        <v>100</v>
      </c>
      <c r="G60" s="54">
        <v>201</v>
      </c>
      <c r="H60" s="54">
        <f t="shared" si="8"/>
        <v>301</v>
      </c>
      <c r="I60" s="55">
        <v>0</v>
      </c>
      <c r="J60" s="55">
        <v>0</v>
      </c>
      <c r="K60" s="55">
        <f t="shared" si="9"/>
        <v>0</v>
      </c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46" ht="15.75">
      <c r="A61" s="53"/>
      <c r="B61" s="53" t="s">
        <v>63</v>
      </c>
      <c r="C61" s="54">
        <v>400</v>
      </c>
      <c r="D61" s="54">
        <v>24410</v>
      </c>
      <c r="E61" s="54">
        <f t="shared" si="7"/>
        <v>24810</v>
      </c>
      <c r="F61" s="55">
        <v>0</v>
      </c>
      <c r="G61" s="55">
        <v>0</v>
      </c>
      <c r="H61" s="54">
        <f t="shared" si="8"/>
        <v>0</v>
      </c>
      <c r="I61" s="55">
        <v>0</v>
      </c>
      <c r="J61" s="55">
        <v>0</v>
      </c>
      <c r="K61" s="55">
        <f t="shared" si="9"/>
        <v>0</v>
      </c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46" ht="15.75">
      <c r="A62" s="53"/>
      <c r="B62" s="53" t="s">
        <v>64</v>
      </c>
      <c r="C62" s="54">
        <f>654+3264</f>
        <v>3918</v>
      </c>
      <c r="D62" s="54">
        <f>674+3256</f>
        <v>3930</v>
      </c>
      <c r="E62" s="54">
        <f t="shared" si="7"/>
        <v>7848</v>
      </c>
      <c r="F62" s="55">
        <v>0</v>
      </c>
      <c r="G62" s="55">
        <v>0</v>
      </c>
      <c r="H62" s="54">
        <f t="shared" si="8"/>
        <v>0</v>
      </c>
      <c r="I62" s="55">
        <v>0</v>
      </c>
      <c r="J62" s="55">
        <v>0</v>
      </c>
      <c r="K62" s="55">
        <f t="shared" si="9"/>
        <v>0</v>
      </c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1:46" ht="15.75">
      <c r="A63" s="53"/>
      <c r="B63" s="53" t="s">
        <v>65</v>
      </c>
      <c r="C63" s="54">
        <f>1227+1061</f>
        <v>2288</v>
      </c>
      <c r="D63" s="54">
        <f>1419+1299</f>
        <v>2718</v>
      </c>
      <c r="E63" s="54">
        <f t="shared" si="7"/>
        <v>5006</v>
      </c>
      <c r="F63" s="55">
        <v>0</v>
      </c>
      <c r="G63" s="55">
        <v>0</v>
      </c>
      <c r="H63" s="54">
        <f t="shared" si="8"/>
        <v>0</v>
      </c>
      <c r="I63" s="55">
        <v>0</v>
      </c>
      <c r="J63" s="55">
        <v>0</v>
      </c>
      <c r="K63" s="55">
        <f t="shared" si="9"/>
        <v>0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1:46" ht="15.75">
      <c r="A64" s="53"/>
      <c r="B64" s="53" t="s">
        <v>66</v>
      </c>
      <c r="C64" s="55">
        <v>0</v>
      </c>
      <c r="D64" s="55">
        <v>0</v>
      </c>
      <c r="E64" s="54">
        <f t="shared" si="7"/>
        <v>0</v>
      </c>
      <c r="F64" s="55">
        <v>0</v>
      </c>
      <c r="G64" s="55">
        <v>0</v>
      </c>
      <c r="H64" s="54">
        <f t="shared" si="8"/>
        <v>0</v>
      </c>
      <c r="I64" s="55">
        <v>0</v>
      </c>
      <c r="J64" s="55">
        <v>0</v>
      </c>
      <c r="K64" s="55">
        <f t="shared" si="9"/>
        <v>0</v>
      </c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5.75">
      <c r="A65" s="53"/>
      <c r="B65" s="53" t="s">
        <v>67</v>
      </c>
      <c r="C65" s="54">
        <f>1016+780</f>
        <v>1796</v>
      </c>
      <c r="D65" s="54">
        <f>1217+1126</f>
        <v>2343</v>
      </c>
      <c r="E65" s="54">
        <f t="shared" si="7"/>
        <v>4139</v>
      </c>
      <c r="F65" s="55">
        <v>0</v>
      </c>
      <c r="G65" s="55">
        <v>0</v>
      </c>
      <c r="H65" s="54">
        <f t="shared" si="8"/>
        <v>0</v>
      </c>
      <c r="I65" s="55">
        <v>0</v>
      </c>
      <c r="J65" s="55">
        <v>0</v>
      </c>
      <c r="K65" s="55">
        <f t="shared" si="9"/>
        <v>0</v>
      </c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5.75">
      <c r="A66" s="53"/>
      <c r="B66" s="53" t="s">
        <v>68</v>
      </c>
      <c r="C66" s="54">
        <f>856+2063</f>
        <v>2919</v>
      </c>
      <c r="D66" s="54">
        <f>981+3052</f>
        <v>4033</v>
      </c>
      <c r="E66" s="54">
        <f t="shared" si="7"/>
        <v>6952</v>
      </c>
      <c r="F66" s="54">
        <v>193</v>
      </c>
      <c r="G66" s="54">
        <v>224</v>
      </c>
      <c r="H66" s="54">
        <f t="shared" si="8"/>
        <v>417</v>
      </c>
      <c r="I66" s="55">
        <v>0</v>
      </c>
      <c r="J66" s="55">
        <v>0</v>
      </c>
      <c r="K66" s="55">
        <f t="shared" si="9"/>
        <v>0</v>
      </c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5.75">
      <c r="A67" s="53"/>
      <c r="B67" s="53" t="s">
        <v>69</v>
      </c>
      <c r="C67" s="54">
        <f>535+2766</f>
        <v>3301</v>
      </c>
      <c r="D67" s="54">
        <f>579+2998</f>
        <v>3577</v>
      </c>
      <c r="E67" s="54">
        <f t="shared" si="7"/>
        <v>6878</v>
      </c>
      <c r="F67" s="55">
        <v>0</v>
      </c>
      <c r="G67" s="55">
        <v>0</v>
      </c>
      <c r="H67" s="54">
        <f t="shared" si="8"/>
        <v>0</v>
      </c>
      <c r="I67" s="55">
        <v>0</v>
      </c>
      <c r="J67" s="55">
        <v>0</v>
      </c>
      <c r="K67" s="55">
        <f t="shared" si="9"/>
        <v>0</v>
      </c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5.75">
      <c r="A68" s="53"/>
      <c r="B68" s="53" t="s">
        <v>70</v>
      </c>
      <c r="C68" s="54">
        <f>124+2568</f>
        <v>2692</v>
      </c>
      <c r="D68" s="54">
        <f>81+1469</f>
        <v>1550</v>
      </c>
      <c r="E68" s="54">
        <f t="shared" si="7"/>
        <v>4242</v>
      </c>
      <c r="F68" s="55">
        <v>0</v>
      </c>
      <c r="G68" s="55">
        <v>0</v>
      </c>
      <c r="H68" s="54">
        <f t="shared" si="8"/>
        <v>0</v>
      </c>
      <c r="I68" s="55">
        <v>0</v>
      </c>
      <c r="J68" s="55">
        <v>0</v>
      </c>
      <c r="K68" s="55">
        <f t="shared" si="9"/>
        <v>0</v>
      </c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5.75">
      <c r="A69" s="53"/>
      <c r="B69" s="53" t="s">
        <v>71</v>
      </c>
      <c r="C69" s="54">
        <f>1694+3038</f>
        <v>4732</v>
      </c>
      <c r="D69" s="54">
        <f>1442+2322</f>
        <v>3764</v>
      </c>
      <c r="E69" s="54">
        <f t="shared" si="7"/>
        <v>8496</v>
      </c>
      <c r="F69" s="54">
        <v>68</v>
      </c>
      <c r="G69" s="54">
        <v>55</v>
      </c>
      <c r="H69" s="54">
        <f t="shared" si="8"/>
        <v>123</v>
      </c>
      <c r="I69" s="55">
        <v>0</v>
      </c>
      <c r="J69" s="55">
        <v>0</v>
      </c>
      <c r="K69" s="55">
        <f t="shared" si="9"/>
        <v>0</v>
      </c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5.75">
      <c r="A70" s="53"/>
      <c r="B70" s="53" t="s">
        <v>72</v>
      </c>
      <c r="C70" s="54">
        <v>1024</v>
      </c>
      <c r="D70" s="54">
        <v>1244</v>
      </c>
      <c r="E70" s="54">
        <f t="shared" si="7"/>
        <v>2268</v>
      </c>
      <c r="F70" s="55">
        <v>0</v>
      </c>
      <c r="G70" s="55">
        <v>0</v>
      </c>
      <c r="H70" s="54">
        <f t="shared" si="8"/>
        <v>0</v>
      </c>
      <c r="I70" s="55">
        <v>0</v>
      </c>
      <c r="J70" s="55">
        <v>0</v>
      </c>
      <c r="K70" s="55">
        <f t="shared" si="9"/>
        <v>0</v>
      </c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5.75">
      <c r="A71" s="53"/>
      <c r="B71" s="53" t="s">
        <v>73</v>
      </c>
      <c r="C71" s="54">
        <v>581</v>
      </c>
      <c r="D71" s="54">
        <v>13771</v>
      </c>
      <c r="E71" s="54">
        <f t="shared" si="7"/>
        <v>14352</v>
      </c>
      <c r="F71" s="55">
        <v>0</v>
      </c>
      <c r="G71" s="55">
        <v>0</v>
      </c>
      <c r="H71" s="54">
        <f t="shared" si="8"/>
        <v>0</v>
      </c>
      <c r="I71" s="55">
        <v>0</v>
      </c>
      <c r="J71" s="55">
        <v>0</v>
      </c>
      <c r="K71" s="55">
        <f t="shared" si="9"/>
        <v>0</v>
      </c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5.75">
      <c r="A72" s="53"/>
      <c r="B72" s="53" t="s">
        <v>74</v>
      </c>
      <c r="C72" s="54">
        <f>398+378</f>
        <v>776</v>
      </c>
      <c r="D72" s="54">
        <f>6741+6676</f>
        <v>13417</v>
      </c>
      <c r="E72" s="54">
        <f t="shared" si="7"/>
        <v>14193</v>
      </c>
      <c r="F72" s="55">
        <v>0</v>
      </c>
      <c r="G72" s="55">
        <v>0</v>
      </c>
      <c r="H72" s="54">
        <f t="shared" si="8"/>
        <v>0</v>
      </c>
      <c r="I72" s="55">
        <v>0</v>
      </c>
      <c r="J72" s="55">
        <v>0</v>
      </c>
      <c r="K72" s="55">
        <f t="shared" si="9"/>
        <v>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5.75">
      <c r="A73" s="53"/>
      <c r="B73" s="53" t="s">
        <v>75</v>
      </c>
      <c r="C73" s="54">
        <v>49</v>
      </c>
      <c r="D73" s="54">
        <f>1380+4486</f>
        <v>5866</v>
      </c>
      <c r="E73" s="54">
        <f t="shared" si="7"/>
        <v>5915</v>
      </c>
      <c r="F73" s="55">
        <v>0</v>
      </c>
      <c r="G73" s="55">
        <v>0</v>
      </c>
      <c r="H73" s="54">
        <f t="shared" si="8"/>
        <v>0</v>
      </c>
      <c r="I73" s="55">
        <v>0</v>
      </c>
      <c r="J73" s="55">
        <v>0</v>
      </c>
      <c r="K73" s="55">
        <f t="shared" si="9"/>
        <v>0</v>
      </c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5.75">
      <c r="A74" s="53"/>
      <c r="B74" s="53" t="s">
        <v>76</v>
      </c>
      <c r="C74" s="55">
        <v>0</v>
      </c>
      <c r="D74" s="55">
        <v>0</v>
      </c>
      <c r="E74" s="54">
        <f t="shared" si="7"/>
        <v>0</v>
      </c>
      <c r="F74" s="55">
        <v>0</v>
      </c>
      <c r="G74" s="55">
        <v>0</v>
      </c>
      <c r="H74" s="54">
        <f t="shared" si="8"/>
        <v>0</v>
      </c>
      <c r="I74" s="55">
        <v>0</v>
      </c>
      <c r="J74" s="55">
        <v>0</v>
      </c>
      <c r="K74" s="55">
        <f t="shared" si="9"/>
        <v>0</v>
      </c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5.75">
      <c r="A75" s="53"/>
      <c r="B75" s="53" t="s">
        <v>77</v>
      </c>
      <c r="C75" s="54">
        <v>34</v>
      </c>
      <c r="D75" s="54">
        <v>557</v>
      </c>
      <c r="E75" s="54">
        <f t="shared" si="7"/>
        <v>591</v>
      </c>
      <c r="F75" s="55">
        <v>0</v>
      </c>
      <c r="G75" s="55">
        <v>0</v>
      </c>
      <c r="H75" s="54">
        <f t="shared" si="8"/>
        <v>0</v>
      </c>
      <c r="I75" s="55">
        <v>0</v>
      </c>
      <c r="J75" s="55">
        <v>0</v>
      </c>
      <c r="K75" s="55">
        <f t="shared" si="9"/>
        <v>0</v>
      </c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5.75">
      <c r="A76" s="53"/>
      <c r="B76" s="53" t="s">
        <v>78</v>
      </c>
      <c r="C76" s="54">
        <v>33</v>
      </c>
      <c r="D76" s="54">
        <f>2527+36</f>
        <v>2563</v>
      </c>
      <c r="E76" s="54">
        <f t="shared" si="7"/>
        <v>2596</v>
      </c>
      <c r="F76" s="55">
        <v>0</v>
      </c>
      <c r="G76" s="55">
        <v>0</v>
      </c>
      <c r="H76" s="54">
        <f t="shared" si="8"/>
        <v>0</v>
      </c>
      <c r="I76" s="55">
        <v>0</v>
      </c>
      <c r="J76" s="55">
        <v>0</v>
      </c>
      <c r="K76" s="55">
        <f t="shared" si="9"/>
        <v>0</v>
      </c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5.75">
      <c r="A77" s="53"/>
      <c r="B77" s="53" t="s">
        <v>79</v>
      </c>
      <c r="C77" s="54">
        <f>552+1800</f>
        <v>2352</v>
      </c>
      <c r="D77" s="54">
        <f>715+2361</f>
        <v>3076</v>
      </c>
      <c r="E77" s="54">
        <f t="shared" si="7"/>
        <v>5428</v>
      </c>
      <c r="F77" s="55">
        <v>0</v>
      </c>
      <c r="G77" s="55">
        <v>0</v>
      </c>
      <c r="H77" s="54">
        <f t="shared" si="8"/>
        <v>0</v>
      </c>
      <c r="I77" s="55">
        <v>0</v>
      </c>
      <c r="J77" s="55">
        <v>0</v>
      </c>
      <c r="K77" s="55">
        <f t="shared" si="9"/>
        <v>0</v>
      </c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5.75">
      <c r="A78" s="53"/>
      <c r="B78" s="53" t="s">
        <v>80</v>
      </c>
      <c r="C78" s="54">
        <v>6889</v>
      </c>
      <c r="D78" s="54">
        <v>709</v>
      </c>
      <c r="E78" s="54">
        <f t="shared" si="7"/>
        <v>7598</v>
      </c>
      <c r="F78" s="55">
        <v>0</v>
      </c>
      <c r="G78" s="55">
        <v>0</v>
      </c>
      <c r="H78" s="54">
        <f>SUM(F78:G78)</f>
        <v>0</v>
      </c>
      <c r="I78" s="55">
        <v>0</v>
      </c>
      <c r="J78" s="55">
        <v>0</v>
      </c>
      <c r="K78" s="55">
        <f t="shared" si="9"/>
        <v>0</v>
      </c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5.75">
      <c r="A79" s="53"/>
      <c r="B79" s="53" t="s">
        <v>81</v>
      </c>
      <c r="C79" s="54">
        <f>4154+3293</f>
        <v>7447</v>
      </c>
      <c r="D79" s="54">
        <f>3825+2982</f>
        <v>6807</v>
      </c>
      <c r="E79" s="54">
        <f t="shared" si="7"/>
        <v>14254</v>
      </c>
      <c r="F79" s="55">
        <v>0</v>
      </c>
      <c r="G79" s="55">
        <v>0</v>
      </c>
      <c r="H79" s="55">
        <f t="shared" ref="H79:H93" si="10">F79+G79</f>
        <v>0</v>
      </c>
      <c r="I79" s="55">
        <v>0</v>
      </c>
      <c r="J79" s="55">
        <v>0</v>
      </c>
      <c r="K79" s="55">
        <f t="shared" si="9"/>
        <v>0</v>
      </c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5.75">
      <c r="A80" s="53"/>
      <c r="B80" s="53" t="s">
        <v>82</v>
      </c>
      <c r="C80" s="54">
        <f>2617+2270</f>
        <v>4887</v>
      </c>
      <c r="D80" s="54">
        <f>2474+2045</f>
        <v>4519</v>
      </c>
      <c r="E80" s="54">
        <f t="shared" si="7"/>
        <v>9406</v>
      </c>
      <c r="F80" s="55">
        <v>0</v>
      </c>
      <c r="G80" s="55">
        <v>0</v>
      </c>
      <c r="H80" s="55">
        <f t="shared" si="10"/>
        <v>0</v>
      </c>
      <c r="I80" s="55">
        <v>0</v>
      </c>
      <c r="J80" s="55">
        <v>0</v>
      </c>
      <c r="K80" s="55">
        <f t="shared" si="9"/>
        <v>0</v>
      </c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5.75">
      <c r="A81" s="53"/>
      <c r="B81" s="53" t="s">
        <v>83</v>
      </c>
      <c r="C81" s="54">
        <f>1694+93</f>
        <v>1787</v>
      </c>
      <c r="D81" s="54">
        <f>1990+116</f>
        <v>2106</v>
      </c>
      <c r="E81" s="54">
        <f t="shared" si="7"/>
        <v>3893</v>
      </c>
      <c r="F81" s="55">
        <v>0</v>
      </c>
      <c r="G81" s="55">
        <v>0</v>
      </c>
      <c r="H81" s="55">
        <f t="shared" si="10"/>
        <v>0</v>
      </c>
      <c r="I81" s="55">
        <v>0</v>
      </c>
      <c r="J81" s="55">
        <v>0</v>
      </c>
      <c r="K81" s="55">
        <f t="shared" si="9"/>
        <v>0</v>
      </c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5.75">
      <c r="A82" s="53"/>
      <c r="B82" s="53" t="s">
        <v>84</v>
      </c>
      <c r="C82" s="54">
        <f>2390+2089</f>
        <v>4479</v>
      </c>
      <c r="D82" s="54">
        <f>2279+1374</f>
        <v>3653</v>
      </c>
      <c r="E82" s="54">
        <f t="shared" si="7"/>
        <v>8132</v>
      </c>
      <c r="F82" s="54">
        <v>37</v>
      </c>
      <c r="G82" s="54">
        <v>68</v>
      </c>
      <c r="H82" s="55">
        <f t="shared" si="10"/>
        <v>105</v>
      </c>
      <c r="I82" s="55">
        <v>0</v>
      </c>
      <c r="J82" s="55">
        <v>0</v>
      </c>
      <c r="K82" s="55">
        <f t="shared" si="9"/>
        <v>0</v>
      </c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5.75">
      <c r="A83" s="53"/>
      <c r="B83" s="53" t="s">
        <v>85</v>
      </c>
      <c r="C83" s="54">
        <v>1</v>
      </c>
      <c r="D83" s="54">
        <f>89+C88</f>
        <v>2088</v>
      </c>
      <c r="E83" s="54">
        <f t="shared" si="7"/>
        <v>2089</v>
      </c>
      <c r="F83" s="55">
        <v>0</v>
      </c>
      <c r="G83" s="55">
        <v>0</v>
      </c>
      <c r="H83" s="55">
        <f t="shared" si="10"/>
        <v>0</v>
      </c>
      <c r="I83" s="55">
        <v>0</v>
      </c>
      <c r="J83" s="55">
        <v>0</v>
      </c>
      <c r="K83" s="55">
        <f t="shared" si="9"/>
        <v>0</v>
      </c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5.75">
      <c r="A84" s="53"/>
      <c r="B84" s="53" t="s">
        <v>86</v>
      </c>
      <c r="C84" s="55"/>
      <c r="D84" s="55"/>
      <c r="E84" s="54">
        <f t="shared" si="7"/>
        <v>0</v>
      </c>
      <c r="F84" s="55">
        <v>0</v>
      </c>
      <c r="G84" s="55">
        <v>0</v>
      </c>
      <c r="H84" s="55">
        <f t="shared" si="10"/>
        <v>0</v>
      </c>
      <c r="I84" s="54">
        <v>0</v>
      </c>
      <c r="J84" s="55">
        <v>0</v>
      </c>
      <c r="K84" s="55">
        <f t="shared" si="9"/>
        <v>0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</row>
    <row r="85" spans="1:46" ht="15.75">
      <c r="A85" s="53"/>
      <c r="B85" s="53" t="s">
        <v>87</v>
      </c>
      <c r="C85" s="55">
        <v>0</v>
      </c>
      <c r="D85" s="55">
        <v>0</v>
      </c>
      <c r="E85" s="54">
        <f t="shared" si="7"/>
        <v>0</v>
      </c>
      <c r="F85" s="55">
        <v>0</v>
      </c>
      <c r="G85" s="55">
        <v>0</v>
      </c>
      <c r="H85" s="55">
        <f t="shared" si="10"/>
        <v>0</v>
      </c>
      <c r="I85" s="55">
        <v>0</v>
      </c>
      <c r="J85" s="55">
        <v>0</v>
      </c>
      <c r="K85" s="55">
        <f t="shared" si="9"/>
        <v>0</v>
      </c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5.75">
      <c r="A86" s="53"/>
      <c r="B86" s="53" t="s">
        <v>88</v>
      </c>
      <c r="C86" s="54">
        <v>37</v>
      </c>
      <c r="D86" s="54">
        <v>542</v>
      </c>
      <c r="E86" s="54">
        <f t="shared" si="7"/>
        <v>579</v>
      </c>
      <c r="F86" s="55">
        <v>0</v>
      </c>
      <c r="G86" s="55">
        <v>0</v>
      </c>
      <c r="H86" s="55">
        <f t="shared" si="10"/>
        <v>0</v>
      </c>
      <c r="I86" s="55">
        <v>0</v>
      </c>
      <c r="J86" s="55">
        <v>0</v>
      </c>
      <c r="K86" s="55">
        <f t="shared" si="9"/>
        <v>0</v>
      </c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5.75">
      <c r="A87" s="53"/>
      <c r="B87" s="53" t="s">
        <v>89</v>
      </c>
      <c r="C87" s="55">
        <v>0</v>
      </c>
      <c r="D87" s="55">
        <v>0</v>
      </c>
      <c r="E87" s="54">
        <f t="shared" si="7"/>
        <v>0</v>
      </c>
      <c r="F87" s="55">
        <v>0</v>
      </c>
      <c r="G87" s="55">
        <v>0</v>
      </c>
      <c r="H87" s="55">
        <f t="shared" si="10"/>
        <v>0</v>
      </c>
      <c r="I87" s="55">
        <v>0</v>
      </c>
      <c r="J87" s="55">
        <v>0</v>
      </c>
      <c r="K87" s="55">
        <f t="shared" si="9"/>
        <v>0</v>
      </c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5.75">
      <c r="A88" s="53"/>
      <c r="B88" s="53" t="s">
        <v>90</v>
      </c>
      <c r="C88" s="54">
        <f>545+1454</f>
        <v>1999</v>
      </c>
      <c r="D88" s="54">
        <v>10</v>
      </c>
      <c r="E88" s="54">
        <f t="shared" si="7"/>
        <v>2009</v>
      </c>
      <c r="F88" s="55">
        <v>0</v>
      </c>
      <c r="G88" s="55"/>
      <c r="H88" s="55">
        <f t="shared" si="10"/>
        <v>0</v>
      </c>
      <c r="I88" s="55">
        <v>0</v>
      </c>
      <c r="J88" s="55">
        <v>0</v>
      </c>
      <c r="K88" s="55">
        <f t="shared" si="9"/>
        <v>0</v>
      </c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5.75">
      <c r="A89" s="53"/>
      <c r="B89" s="53" t="s">
        <v>91</v>
      </c>
      <c r="C89" s="55">
        <v>0</v>
      </c>
      <c r="D89" s="55">
        <v>0</v>
      </c>
      <c r="E89" s="54">
        <f t="shared" si="7"/>
        <v>0</v>
      </c>
      <c r="F89" s="55">
        <v>0</v>
      </c>
      <c r="G89" s="55">
        <v>0</v>
      </c>
      <c r="H89" s="55">
        <f t="shared" si="10"/>
        <v>0</v>
      </c>
      <c r="I89" s="55">
        <v>0</v>
      </c>
      <c r="J89" s="55">
        <v>0</v>
      </c>
      <c r="K89" s="55">
        <f t="shared" si="9"/>
        <v>0</v>
      </c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5.75" customHeight="1">
      <c r="A90" s="53"/>
      <c r="B90" s="53" t="s">
        <v>92</v>
      </c>
      <c r="C90" s="54">
        <f>326+296</f>
        <v>622</v>
      </c>
      <c r="D90" s="54">
        <f>429+387</f>
        <v>816</v>
      </c>
      <c r="E90" s="54">
        <f t="shared" si="7"/>
        <v>1438</v>
      </c>
      <c r="F90" s="55">
        <v>0</v>
      </c>
      <c r="G90" s="55">
        <v>0</v>
      </c>
      <c r="H90" s="55">
        <f t="shared" si="10"/>
        <v>0</v>
      </c>
      <c r="I90" s="55">
        <v>0</v>
      </c>
      <c r="J90" s="55">
        <v>0</v>
      </c>
      <c r="K90" s="55">
        <f t="shared" si="9"/>
        <v>0</v>
      </c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2" customHeight="1">
      <c r="A91" s="53"/>
      <c r="B91" s="53" t="s">
        <v>93</v>
      </c>
      <c r="C91" s="54">
        <v>1992</v>
      </c>
      <c r="D91" s="54">
        <v>1264</v>
      </c>
      <c r="E91" s="54">
        <f t="shared" si="7"/>
        <v>3256</v>
      </c>
      <c r="F91" s="55">
        <v>0</v>
      </c>
      <c r="G91" s="55">
        <v>0</v>
      </c>
      <c r="H91" s="55">
        <f t="shared" si="10"/>
        <v>0</v>
      </c>
      <c r="I91" s="55">
        <v>0</v>
      </c>
      <c r="J91" s="55">
        <v>0</v>
      </c>
      <c r="K91" s="55">
        <f t="shared" si="9"/>
        <v>0</v>
      </c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2" customHeight="1">
      <c r="A92" s="53"/>
      <c r="B92" s="53" t="s">
        <v>94</v>
      </c>
      <c r="C92" s="55">
        <v>0</v>
      </c>
      <c r="D92" s="55">
        <v>0</v>
      </c>
      <c r="E92" s="54">
        <f t="shared" si="7"/>
        <v>0</v>
      </c>
      <c r="F92" s="55">
        <v>0</v>
      </c>
      <c r="G92" s="55">
        <v>0</v>
      </c>
      <c r="H92" s="55">
        <f t="shared" si="10"/>
        <v>0</v>
      </c>
      <c r="I92" s="55">
        <v>0</v>
      </c>
      <c r="J92" s="55">
        <v>0</v>
      </c>
      <c r="K92" s="55">
        <f t="shared" si="9"/>
        <v>0</v>
      </c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2" customHeight="1">
      <c r="A93" s="41"/>
      <c r="B93" s="42" t="s">
        <v>95</v>
      </c>
      <c r="C93" s="47">
        <v>0</v>
      </c>
      <c r="D93" s="47">
        <v>0</v>
      </c>
      <c r="E93" s="47">
        <f>SUM(C93:D93)</f>
        <v>0</v>
      </c>
      <c r="F93" s="47">
        <v>0</v>
      </c>
      <c r="G93" s="47">
        <v>0</v>
      </c>
      <c r="H93" s="55">
        <f t="shared" si="10"/>
        <v>0</v>
      </c>
      <c r="I93" s="47">
        <v>0</v>
      </c>
      <c r="J93" s="47">
        <v>0</v>
      </c>
      <c r="K93" s="47">
        <f t="shared" si="9"/>
        <v>0</v>
      </c>
      <c r="L93" s="1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5.75" customHeight="1">
      <c r="A94" s="41">
        <v>3</v>
      </c>
      <c r="B94" s="42" t="s">
        <v>96</v>
      </c>
      <c r="C94" s="47"/>
      <c r="D94" s="47"/>
      <c r="E94" s="47"/>
      <c r="F94" s="47"/>
      <c r="G94" s="47"/>
      <c r="H94" s="47"/>
      <c r="I94" s="47"/>
      <c r="J94" s="47"/>
      <c r="K94" s="47"/>
      <c r="L94" s="1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2" customHeight="1">
      <c r="A95" s="41"/>
      <c r="B95" s="59">
        <v>1</v>
      </c>
      <c r="C95" s="47">
        <v>0</v>
      </c>
      <c r="D95" s="47">
        <v>0</v>
      </c>
      <c r="E95" s="47">
        <f t="shared" ref="E95:E96" si="11">SUM(C95:D95)</f>
        <v>0</v>
      </c>
      <c r="F95" s="47">
        <v>0</v>
      </c>
      <c r="G95" s="47">
        <v>0</v>
      </c>
      <c r="H95" s="47">
        <f t="shared" ref="H95:H96" si="12">SUM(F95:G95)</f>
        <v>0</v>
      </c>
      <c r="I95" s="47">
        <v>0</v>
      </c>
      <c r="J95" s="47">
        <v>0</v>
      </c>
      <c r="K95" s="47">
        <f t="shared" ref="K95:K96" si="13">SUM(I95:J95)</f>
        <v>0</v>
      </c>
      <c r="L95" s="1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2" customHeight="1">
      <c r="A96" s="41"/>
      <c r="B96" s="42" t="s">
        <v>95</v>
      </c>
      <c r="C96" s="47">
        <v>0</v>
      </c>
      <c r="D96" s="47">
        <v>0</v>
      </c>
      <c r="E96" s="47">
        <f t="shared" si="11"/>
        <v>0</v>
      </c>
      <c r="F96" s="47">
        <v>0</v>
      </c>
      <c r="G96" s="47">
        <v>0</v>
      </c>
      <c r="H96" s="47">
        <f t="shared" si="12"/>
        <v>0</v>
      </c>
      <c r="I96" s="47">
        <v>0</v>
      </c>
      <c r="J96" s="47">
        <v>0</v>
      </c>
      <c r="K96" s="47">
        <f t="shared" si="13"/>
        <v>0</v>
      </c>
      <c r="L96" s="1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20.25" customHeight="1">
      <c r="A97" s="41">
        <v>4</v>
      </c>
      <c r="B97" s="42" t="s">
        <v>97</v>
      </c>
      <c r="C97" s="47"/>
      <c r="D97" s="47"/>
      <c r="E97" s="47"/>
      <c r="F97" s="47"/>
      <c r="G97" s="47"/>
      <c r="H97" s="47"/>
      <c r="I97" s="47"/>
      <c r="J97" s="47"/>
      <c r="K97" s="47"/>
      <c r="L97" s="1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2" customHeight="1">
      <c r="A98" s="41"/>
      <c r="B98" s="59">
        <v>1</v>
      </c>
      <c r="C98" s="47">
        <v>0</v>
      </c>
      <c r="D98" s="47">
        <v>0</v>
      </c>
      <c r="E98" s="47">
        <f t="shared" ref="E98:E99" si="14">SUM(C98:D98)</f>
        <v>0</v>
      </c>
      <c r="F98" s="47">
        <v>0</v>
      </c>
      <c r="G98" s="47">
        <v>0</v>
      </c>
      <c r="H98" s="47">
        <f t="shared" ref="H98:H99" si="15">SUM(F98:G98)</f>
        <v>0</v>
      </c>
      <c r="I98" s="47">
        <v>0</v>
      </c>
      <c r="J98" s="47">
        <v>0</v>
      </c>
      <c r="K98" s="47">
        <f t="shared" ref="K98:K99" si="16">SUM(I98:J98)</f>
        <v>0</v>
      </c>
      <c r="L98" s="1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2" customHeight="1">
      <c r="A99" s="41"/>
      <c r="B99" s="42" t="s">
        <v>95</v>
      </c>
      <c r="C99" s="47">
        <v>0</v>
      </c>
      <c r="D99" s="47">
        <v>0</v>
      </c>
      <c r="E99" s="47">
        <f t="shared" si="14"/>
        <v>0</v>
      </c>
      <c r="F99" s="47">
        <v>0</v>
      </c>
      <c r="G99" s="47">
        <v>0</v>
      </c>
      <c r="H99" s="47">
        <f t="shared" si="15"/>
        <v>0</v>
      </c>
      <c r="I99" s="47">
        <v>0</v>
      </c>
      <c r="J99" s="47">
        <v>0</v>
      </c>
      <c r="K99" s="47">
        <f t="shared" si="16"/>
        <v>0</v>
      </c>
      <c r="L99" s="1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5.75" customHeight="1">
      <c r="A100" s="41">
        <v>5</v>
      </c>
      <c r="B100" s="42" t="s">
        <v>98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1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2" customHeight="1">
      <c r="A101" s="41"/>
      <c r="B101" s="59">
        <v>1</v>
      </c>
      <c r="C101" s="47">
        <v>0</v>
      </c>
      <c r="D101" s="47">
        <v>0</v>
      </c>
      <c r="E101" s="47">
        <f t="shared" ref="E101:E102" si="17">SUM(C101:D101)</f>
        <v>0</v>
      </c>
      <c r="F101" s="47">
        <v>0</v>
      </c>
      <c r="G101" s="47">
        <v>0</v>
      </c>
      <c r="H101" s="47">
        <f t="shared" ref="H101:H102" si="18">SUM(F101:G101)</f>
        <v>0</v>
      </c>
      <c r="I101" s="47">
        <v>0</v>
      </c>
      <c r="J101" s="47">
        <v>0</v>
      </c>
      <c r="K101" s="47">
        <f t="shared" ref="K101:K102" si="19">SUM(I101:J101)</f>
        <v>0</v>
      </c>
      <c r="L101" s="1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2" customHeight="1">
      <c r="A102" s="41"/>
      <c r="B102" s="42" t="s">
        <v>95</v>
      </c>
      <c r="C102" s="47">
        <v>0</v>
      </c>
      <c r="D102" s="47">
        <v>0</v>
      </c>
      <c r="E102" s="47">
        <f t="shared" si="17"/>
        <v>0</v>
      </c>
      <c r="F102" s="47">
        <v>0</v>
      </c>
      <c r="G102" s="47">
        <v>0</v>
      </c>
      <c r="H102" s="47">
        <f t="shared" si="18"/>
        <v>0</v>
      </c>
      <c r="I102" s="47">
        <v>0</v>
      </c>
      <c r="J102" s="47">
        <v>0</v>
      </c>
      <c r="K102" s="47">
        <f t="shared" si="19"/>
        <v>0</v>
      </c>
      <c r="L102" s="1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5.75" customHeight="1">
      <c r="A103" s="41"/>
      <c r="B103" s="42"/>
      <c r="C103" s="47"/>
      <c r="D103" s="47"/>
      <c r="E103" s="47"/>
      <c r="F103" s="47"/>
      <c r="G103" s="47"/>
      <c r="H103" s="47"/>
      <c r="I103" s="47"/>
      <c r="J103" s="47"/>
      <c r="K103" s="47"/>
      <c r="L103" s="1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5.75" customHeight="1">
      <c r="A104" s="60" t="s">
        <v>99</v>
      </c>
      <c r="B104" s="60"/>
      <c r="C104" s="61">
        <f t="shared" ref="C104:K104" si="20">SUM(C15+C48)</f>
        <v>509576</v>
      </c>
      <c r="D104" s="61">
        <f t="shared" si="20"/>
        <v>751842</v>
      </c>
      <c r="E104" s="62">
        <f t="shared" si="20"/>
        <v>1261418</v>
      </c>
      <c r="F104" s="62">
        <f t="shared" si="20"/>
        <v>4155</v>
      </c>
      <c r="G104" s="62">
        <f t="shared" si="20"/>
        <v>5492</v>
      </c>
      <c r="H104" s="62">
        <f t="shared" si="20"/>
        <v>9647</v>
      </c>
      <c r="I104" s="62">
        <f t="shared" si="20"/>
        <v>5161</v>
      </c>
      <c r="J104" s="62">
        <f t="shared" si="20"/>
        <v>3653</v>
      </c>
      <c r="K104" s="62">
        <f t="shared" si="20"/>
        <v>8814</v>
      </c>
      <c r="L104" s="1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5.75" customHeight="1">
      <c r="A105" s="63" t="s">
        <v>100</v>
      </c>
      <c r="B105" s="64" t="s">
        <v>101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1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5.75" customHeight="1">
      <c r="A106" s="41">
        <v>1</v>
      </c>
      <c r="B106" s="42" t="s">
        <v>102</v>
      </c>
      <c r="C106" s="65">
        <f t="shared" ref="C106:K106" si="21">SUM(C107:C110)</f>
        <v>15907</v>
      </c>
      <c r="D106" s="65">
        <f t="shared" si="21"/>
        <v>21750</v>
      </c>
      <c r="E106" s="65">
        <f t="shared" si="21"/>
        <v>37657</v>
      </c>
      <c r="F106" s="65">
        <f t="shared" si="21"/>
        <v>0</v>
      </c>
      <c r="G106" s="65">
        <f t="shared" si="21"/>
        <v>0</v>
      </c>
      <c r="H106" s="65">
        <f t="shared" si="21"/>
        <v>0</v>
      </c>
      <c r="I106" s="65">
        <f t="shared" si="21"/>
        <v>0</v>
      </c>
      <c r="J106" s="65">
        <f t="shared" si="21"/>
        <v>0</v>
      </c>
      <c r="K106" s="65">
        <f t="shared" si="21"/>
        <v>0</v>
      </c>
      <c r="L106" s="1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5.75">
      <c r="A107" s="53"/>
      <c r="B107" s="53" t="s">
        <v>103</v>
      </c>
      <c r="C107" s="55">
        <v>7890</v>
      </c>
      <c r="D107" s="55">
        <v>12417</v>
      </c>
      <c r="E107" s="54">
        <f t="shared" ref="E107:E110" si="22">C107+D107</f>
        <v>20307</v>
      </c>
      <c r="F107" s="55">
        <v>0</v>
      </c>
      <c r="G107" s="55">
        <v>0</v>
      </c>
      <c r="H107" s="54">
        <f t="shared" ref="H107:H110" si="23">F107+G107</f>
        <v>0</v>
      </c>
      <c r="I107" s="55">
        <v>0</v>
      </c>
      <c r="J107" s="55">
        <v>0</v>
      </c>
      <c r="K107" s="55">
        <f t="shared" ref="K107:K110" si="24">SUM(I107:J107)</f>
        <v>0</v>
      </c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5.75">
      <c r="A108" s="53"/>
      <c r="B108" s="66" t="s">
        <v>104</v>
      </c>
      <c r="C108" s="54">
        <f>6221+1796</f>
        <v>8017</v>
      </c>
      <c r="D108" s="54">
        <f>6913+2420</f>
        <v>9333</v>
      </c>
      <c r="E108" s="54">
        <f t="shared" si="22"/>
        <v>17350</v>
      </c>
      <c r="F108" s="55">
        <v>0</v>
      </c>
      <c r="G108" s="55">
        <v>0</v>
      </c>
      <c r="H108" s="54">
        <f t="shared" si="23"/>
        <v>0</v>
      </c>
      <c r="I108" s="55">
        <v>0</v>
      </c>
      <c r="J108" s="55">
        <v>0</v>
      </c>
      <c r="K108" s="55">
        <f t="shared" si="24"/>
        <v>0</v>
      </c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5.75">
      <c r="A109" s="53"/>
      <c r="B109" s="53" t="s">
        <v>105</v>
      </c>
      <c r="C109" s="55">
        <v>0</v>
      </c>
      <c r="D109" s="55">
        <v>0</v>
      </c>
      <c r="E109" s="54">
        <f t="shared" si="22"/>
        <v>0</v>
      </c>
      <c r="F109" s="55">
        <v>0</v>
      </c>
      <c r="G109" s="55">
        <v>0</v>
      </c>
      <c r="H109" s="55">
        <f t="shared" si="23"/>
        <v>0</v>
      </c>
      <c r="I109" s="55">
        <v>0</v>
      </c>
      <c r="J109" s="55">
        <v>0</v>
      </c>
      <c r="K109" s="55">
        <f t="shared" si="24"/>
        <v>0</v>
      </c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2" customHeight="1">
      <c r="A110" s="53"/>
      <c r="B110" s="53" t="s">
        <v>106</v>
      </c>
      <c r="C110" s="55">
        <v>0</v>
      </c>
      <c r="D110" s="55">
        <v>0</v>
      </c>
      <c r="E110" s="54">
        <f t="shared" si="22"/>
        <v>0</v>
      </c>
      <c r="F110" s="55">
        <v>0</v>
      </c>
      <c r="G110" s="55">
        <v>0</v>
      </c>
      <c r="H110" s="55">
        <f t="shared" si="23"/>
        <v>0</v>
      </c>
      <c r="I110" s="55">
        <v>0</v>
      </c>
      <c r="J110" s="55">
        <v>0</v>
      </c>
      <c r="K110" s="55">
        <f t="shared" si="24"/>
        <v>0</v>
      </c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5.75" customHeight="1">
      <c r="A111" s="41"/>
      <c r="B111" s="42"/>
      <c r="C111" s="47"/>
      <c r="D111" s="47"/>
      <c r="E111" s="47"/>
      <c r="F111" s="47"/>
      <c r="G111" s="47"/>
      <c r="H111" s="47"/>
      <c r="I111" s="47"/>
      <c r="J111" s="47"/>
      <c r="K111" s="47"/>
      <c r="L111" s="1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5.75" customHeight="1">
      <c r="A112" s="41">
        <v>2</v>
      </c>
      <c r="B112" s="42" t="s">
        <v>107</v>
      </c>
      <c r="C112" s="65">
        <f t="shared" ref="C112:K112" si="25">SUM(C113:C120)</f>
        <v>354100</v>
      </c>
      <c r="D112" s="65">
        <f t="shared" si="25"/>
        <v>398766</v>
      </c>
      <c r="E112" s="65">
        <f t="shared" si="25"/>
        <v>752866</v>
      </c>
      <c r="F112" s="65">
        <f t="shared" si="25"/>
        <v>38599</v>
      </c>
      <c r="G112" s="65">
        <f t="shared" si="25"/>
        <v>45089</v>
      </c>
      <c r="H112" s="65">
        <f t="shared" si="25"/>
        <v>83688</v>
      </c>
      <c r="I112" s="65">
        <f t="shared" si="25"/>
        <v>108610</v>
      </c>
      <c r="J112" s="65">
        <f t="shared" si="25"/>
        <v>124924</v>
      </c>
      <c r="K112" s="65">
        <f t="shared" si="25"/>
        <v>233534</v>
      </c>
      <c r="L112" s="1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5.75">
      <c r="A113" s="41"/>
      <c r="B113" s="67" t="s">
        <v>108</v>
      </c>
      <c r="C113" s="47">
        <v>101274</v>
      </c>
      <c r="D113" s="47">
        <v>99215</v>
      </c>
      <c r="E113" s="47">
        <f t="shared" ref="E113:E121" si="26">SUM(C113:D113)</f>
        <v>200489</v>
      </c>
      <c r="F113" s="47">
        <v>11375</v>
      </c>
      <c r="G113" s="47">
        <v>10667</v>
      </c>
      <c r="H113" s="47">
        <f t="shared" ref="H113:H121" si="27">SUM(F113:G113)</f>
        <v>22042</v>
      </c>
      <c r="I113" s="47">
        <v>4971</v>
      </c>
      <c r="J113" s="47">
        <v>4289</v>
      </c>
      <c r="K113" s="47">
        <f t="shared" ref="K113:K121" si="28">SUM(I113:J113)</f>
        <v>9260</v>
      </c>
      <c r="L113" s="1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5.75">
      <c r="A114" s="41"/>
      <c r="B114" s="67" t="s">
        <v>109</v>
      </c>
      <c r="C114" s="47">
        <v>103639</v>
      </c>
      <c r="D114" s="47">
        <v>120635</v>
      </c>
      <c r="E114" s="47">
        <f t="shared" si="26"/>
        <v>224274</v>
      </c>
      <c r="F114" s="47">
        <v>10315</v>
      </c>
      <c r="G114" s="47">
        <v>10829</v>
      </c>
      <c r="H114" s="47">
        <f t="shared" si="27"/>
        <v>21144</v>
      </c>
      <c r="I114" s="47">
        <v>103639</v>
      </c>
      <c r="J114" s="47">
        <v>120635</v>
      </c>
      <c r="K114" s="47">
        <f t="shared" si="28"/>
        <v>224274</v>
      </c>
      <c r="L114" s="1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5.75">
      <c r="A115" s="41"/>
      <c r="B115" s="67" t="s">
        <v>110</v>
      </c>
      <c r="C115" s="47">
        <v>41650</v>
      </c>
      <c r="D115" s="47">
        <v>54186</v>
      </c>
      <c r="E115" s="47">
        <f t="shared" si="26"/>
        <v>95836</v>
      </c>
      <c r="F115" s="47">
        <v>5613</v>
      </c>
      <c r="G115" s="47">
        <v>8941</v>
      </c>
      <c r="H115" s="47">
        <f t="shared" si="27"/>
        <v>14554</v>
      </c>
      <c r="I115" s="47">
        <v>0</v>
      </c>
      <c r="J115" s="47">
        <v>0</v>
      </c>
      <c r="K115" s="47">
        <f t="shared" si="28"/>
        <v>0</v>
      </c>
      <c r="L115" s="1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5.75">
      <c r="A116" s="41"/>
      <c r="B116" s="44" t="s">
        <v>111</v>
      </c>
      <c r="C116" s="47">
        <v>21912</v>
      </c>
      <c r="D116" s="47">
        <v>32592</v>
      </c>
      <c r="E116" s="47">
        <f t="shared" si="26"/>
        <v>54504</v>
      </c>
      <c r="F116" s="47">
        <v>3711</v>
      </c>
      <c r="G116" s="47">
        <v>5610</v>
      </c>
      <c r="H116" s="47">
        <f t="shared" si="27"/>
        <v>9321</v>
      </c>
      <c r="I116" s="47">
        <v>0</v>
      </c>
      <c r="J116" s="47">
        <v>0</v>
      </c>
      <c r="K116" s="47">
        <f t="shared" si="28"/>
        <v>0</v>
      </c>
      <c r="L116" s="1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5.75">
      <c r="A117" s="41"/>
      <c r="B117" s="44" t="s">
        <v>112</v>
      </c>
      <c r="C117" s="47">
        <v>63887</v>
      </c>
      <c r="D117" s="47">
        <v>81268</v>
      </c>
      <c r="E117" s="47">
        <f t="shared" si="26"/>
        <v>145155</v>
      </c>
      <c r="F117" s="47">
        <v>6322</v>
      </c>
      <c r="G117" s="47">
        <v>7653</v>
      </c>
      <c r="H117" s="47">
        <f t="shared" si="27"/>
        <v>13975</v>
      </c>
      <c r="I117" s="47">
        <v>0</v>
      </c>
      <c r="J117" s="47">
        <v>0</v>
      </c>
      <c r="K117" s="47">
        <f t="shared" si="28"/>
        <v>0</v>
      </c>
      <c r="L117" s="1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5.75">
      <c r="A118" s="41"/>
      <c r="B118" s="44" t="s">
        <v>113</v>
      </c>
      <c r="C118" s="47">
        <v>331</v>
      </c>
      <c r="D118" s="47">
        <v>387</v>
      </c>
      <c r="E118" s="47">
        <f t="shared" si="26"/>
        <v>718</v>
      </c>
      <c r="F118" s="47">
        <v>11</v>
      </c>
      <c r="G118" s="47">
        <v>15</v>
      </c>
      <c r="H118" s="47">
        <f t="shared" si="27"/>
        <v>26</v>
      </c>
      <c r="I118" s="47">
        <v>0</v>
      </c>
      <c r="J118" s="47">
        <v>0</v>
      </c>
      <c r="K118" s="47">
        <f t="shared" si="28"/>
        <v>0</v>
      </c>
      <c r="L118" s="1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5.75">
      <c r="A119" s="41"/>
      <c r="B119" s="44" t="s">
        <v>114</v>
      </c>
      <c r="C119" s="47">
        <v>19110</v>
      </c>
      <c r="D119" s="47">
        <v>8143</v>
      </c>
      <c r="E119" s="47">
        <f t="shared" si="26"/>
        <v>27253</v>
      </c>
      <c r="F119" s="47">
        <v>1050</v>
      </c>
      <c r="G119" s="47">
        <v>999</v>
      </c>
      <c r="H119" s="47">
        <f t="shared" si="27"/>
        <v>2049</v>
      </c>
      <c r="I119" s="47">
        <v>0</v>
      </c>
      <c r="J119" s="47">
        <v>0</v>
      </c>
      <c r="K119" s="47">
        <f t="shared" si="28"/>
        <v>0</v>
      </c>
      <c r="L119" s="1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5.75">
      <c r="A120" s="41"/>
      <c r="B120" s="44" t="s">
        <v>115</v>
      </c>
      <c r="C120" s="47">
        <v>2297</v>
      </c>
      <c r="D120" s="47">
        <v>2340</v>
      </c>
      <c r="E120" s="47">
        <f t="shared" si="26"/>
        <v>4637</v>
      </c>
      <c r="F120" s="47">
        <v>202</v>
      </c>
      <c r="G120" s="47">
        <v>375</v>
      </c>
      <c r="H120" s="47">
        <f t="shared" si="27"/>
        <v>577</v>
      </c>
      <c r="I120" s="47">
        <v>0</v>
      </c>
      <c r="J120" s="47">
        <v>0</v>
      </c>
      <c r="K120" s="47">
        <f t="shared" si="28"/>
        <v>0</v>
      </c>
      <c r="L120" s="1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2" customHeight="1">
      <c r="A121" s="41"/>
      <c r="B121" s="59"/>
      <c r="C121" s="47"/>
      <c r="D121" s="47"/>
      <c r="E121" s="47">
        <f t="shared" si="26"/>
        <v>0</v>
      </c>
      <c r="F121" s="47"/>
      <c r="G121" s="47"/>
      <c r="H121" s="47">
        <f t="shared" si="27"/>
        <v>0</v>
      </c>
      <c r="I121" s="47"/>
      <c r="J121" s="47"/>
      <c r="K121" s="47">
        <f t="shared" si="28"/>
        <v>0</v>
      </c>
      <c r="L121" s="1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5.75" customHeight="1">
      <c r="A122" s="41">
        <v>3</v>
      </c>
      <c r="B122" s="42" t="s">
        <v>116</v>
      </c>
      <c r="C122" s="47"/>
      <c r="D122" s="47"/>
      <c r="E122" s="47"/>
      <c r="F122" s="47"/>
      <c r="G122" s="47"/>
      <c r="H122" s="47"/>
      <c r="I122" s="47"/>
      <c r="J122" s="47"/>
      <c r="K122" s="47"/>
      <c r="L122" s="1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2" customHeight="1">
      <c r="A123" s="41"/>
      <c r="B123" s="59">
        <v>1</v>
      </c>
      <c r="C123" s="47">
        <v>0</v>
      </c>
      <c r="D123" s="47">
        <v>0</v>
      </c>
      <c r="E123" s="47">
        <f t="shared" ref="E123:E124" si="29">SUM(C123:D123)</f>
        <v>0</v>
      </c>
      <c r="F123" s="47">
        <v>0</v>
      </c>
      <c r="G123" s="47">
        <v>0</v>
      </c>
      <c r="H123" s="47">
        <f t="shared" ref="H123:H124" si="30">SUM(F123:G123)</f>
        <v>0</v>
      </c>
      <c r="I123" s="47">
        <v>0</v>
      </c>
      <c r="J123" s="47">
        <v>0</v>
      </c>
      <c r="K123" s="47">
        <f t="shared" ref="K123:K124" si="31">SUM(I123:J123)</f>
        <v>0</v>
      </c>
      <c r="L123" s="1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2" customHeight="1">
      <c r="A124" s="41"/>
      <c r="B124" s="42" t="s">
        <v>95</v>
      </c>
      <c r="C124" s="47">
        <v>0</v>
      </c>
      <c r="D124" s="47">
        <v>0</v>
      </c>
      <c r="E124" s="47">
        <f t="shared" si="29"/>
        <v>0</v>
      </c>
      <c r="F124" s="47">
        <v>0</v>
      </c>
      <c r="G124" s="47">
        <v>0</v>
      </c>
      <c r="H124" s="47">
        <f t="shared" si="30"/>
        <v>0</v>
      </c>
      <c r="I124" s="47">
        <v>0</v>
      </c>
      <c r="J124" s="47">
        <v>0</v>
      </c>
      <c r="K124" s="47">
        <f t="shared" si="31"/>
        <v>0</v>
      </c>
      <c r="L124" s="1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5.75" customHeight="1">
      <c r="A125" s="41">
        <v>4</v>
      </c>
      <c r="B125" s="42" t="s">
        <v>117</v>
      </c>
      <c r="C125" s="47"/>
      <c r="D125" s="47"/>
      <c r="E125" s="47"/>
      <c r="F125" s="47"/>
      <c r="G125" s="47"/>
      <c r="H125" s="47"/>
      <c r="I125" s="47"/>
      <c r="J125" s="47"/>
      <c r="K125" s="47"/>
      <c r="L125" s="1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2" customHeight="1">
      <c r="A126" s="41"/>
      <c r="B126" s="59">
        <v>1</v>
      </c>
      <c r="C126" s="47">
        <v>0</v>
      </c>
      <c r="D126" s="47">
        <v>0</v>
      </c>
      <c r="E126" s="47">
        <f t="shared" ref="E126:E127" si="32">SUM(C126:D126)</f>
        <v>0</v>
      </c>
      <c r="F126" s="47">
        <v>0</v>
      </c>
      <c r="G126" s="47">
        <v>0</v>
      </c>
      <c r="H126" s="47">
        <f t="shared" ref="H126:H127" si="33">SUM(F126:G126)</f>
        <v>0</v>
      </c>
      <c r="I126" s="47">
        <v>0</v>
      </c>
      <c r="J126" s="47">
        <v>0</v>
      </c>
      <c r="K126" s="47">
        <f t="shared" ref="K126:K127" si="34">SUM(I126:J126)</f>
        <v>0</v>
      </c>
      <c r="L126" s="1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2" customHeight="1">
      <c r="A127" s="41"/>
      <c r="B127" s="42" t="s">
        <v>95</v>
      </c>
      <c r="C127" s="47">
        <v>0</v>
      </c>
      <c r="D127" s="47">
        <v>0</v>
      </c>
      <c r="E127" s="47">
        <f t="shared" si="32"/>
        <v>0</v>
      </c>
      <c r="F127" s="47">
        <v>0</v>
      </c>
      <c r="G127" s="47">
        <v>0</v>
      </c>
      <c r="H127" s="47">
        <f t="shared" si="33"/>
        <v>0</v>
      </c>
      <c r="I127" s="47">
        <v>0</v>
      </c>
      <c r="J127" s="47">
        <v>0</v>
      </c>
      <c r="K127" s="47">
        <f t="shared" si="34"/>
        <v>0</v>
      </c>
      <c r="L127" s="1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1:46" ht="12" customHeight="1">
      <c r="A128" s="41"/>
      <c r="B128" s="42"/>
      <c r="C128" s="47"/>
      <c r="D128" s="47"/>
      <c r="E128" s="47"/>
      <c r="F128" s="47"/>
      <c r="G128" s="47"/>
      <c r="H128" s="47"/>
      <c r="I128" s="47"/>
      <c r="J128" s="47"/>
      <c r="K128" s="47"/>
      <c r="L128" s="1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1:46" ht="15.75" customHeight="1">
      <c r="A129" s="60" t="s">
        <v>118</v>
      </c>
      <c r="B129" s="60"/>
      <c r="C129" s="61">
        <f t="shared" ref="C129:K129" si="35">SUM(C106+C112)</f>
        <v>370007</v>
      </c>
      <c r="D129" s="61">
        <f t="shared" si="35"/>
        <v>420516</v>
      </c>
      <c r="E129" s="61">
        <f t="shared" si="35"/>
        <v>790523</v>
      </c>
      <c r="F129" s="61">
        <f t="shared" si="35"/>
        <v>38599</v>
      </c>
      <c r="G129" s="61">
        <f t="shared" si="35"/>
        <v>45089</v>
      </c>
      <c r="H129" s="61">
        <f t="shared" si="35"/>
        <v>83688</v>
      </c>
      <c r="I129" s="61">
        <f t="shared" si="35"/>
        <v>108610</v>
      </c>
      <c r="J129" s="61">
        <f t="shared" si="35"/>
        <v>124924</v>
      </c>
      <c r="K129" s="61">
        <f t="shared" si="35"/>
        <v>233534</v>
      </c>
      <c r="L129" s="1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1:4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1:46" ht="15.75" customHeight="1">
      <c r="A131" s="2" t="s">
        <v>119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1:46" ht="15.75" customHeight="1">
      <c r="A132" s="2" t="s">
        <v>120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1:4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1:4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1:4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1:4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1:4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1:4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1:4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1:4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1:4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1:4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1:4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1:4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1:4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1:4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1:4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1:4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1:4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1:4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1:4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1:4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1:4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1:4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1:4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1:4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1:4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1:4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1:4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1:4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1:4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1:4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1:4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1:4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1:4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1:4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1:4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1:4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1:4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1:4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1:4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1:4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1:4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1:4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1:4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1:4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1:4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1:4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1:4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1:4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1:4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1:4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1:4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1:4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1:4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1:4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1:4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1:4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1:4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1:4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1:4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1:4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1:4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1:4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1:4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1:4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1:4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1:4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1:4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1:4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1:4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1:4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1:4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1:4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1:4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1:4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1:4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1:4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4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4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4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4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1:4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1:4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1:4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1:4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1:4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1:4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1:4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1:4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1:4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1:4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1:4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1:4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1:4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1:4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1:4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1:4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1:4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1:4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1:4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1:4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1:4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1:4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1: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1:4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1:4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1:4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1:4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1:4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1:4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1:4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1:4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1:4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1:4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1:4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1:4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1:4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1:4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1:4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1:4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1:4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1:4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1:4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1:4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1:4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1:4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1:4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1:4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1:4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1:4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1:4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1:4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1:4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1:4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1:4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1:4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1:4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1:4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1:4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1:4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1:4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1:4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1:4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1:4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1:4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1:4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1:4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1:4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1:4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1:4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1:4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1:4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1:4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1:4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1:4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1:4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1:4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1:4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1:4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1:4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1:4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1:4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1:4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1:4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1:4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1:4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1:4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1:4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1:4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1:4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1:4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1:4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1:4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1:4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1:4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1:4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1:4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1:4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1:4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1:4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1:4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1:4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1:4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1:4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1:4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1:4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1:4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1:4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1:4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1:4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1:4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1:4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1:4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1:4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1:4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1:4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1:4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1:4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1:4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1:4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1:4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1:4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1:4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1: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1:4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1:4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1:4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1:4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1:4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1:4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1:4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1:4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1:4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1:4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1:4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1:4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1:4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1:4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1:4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1:4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1:4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1:4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1:4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1:4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1:4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1:4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1:4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1:4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1:4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1:4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1:4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1:4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1:4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1:4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1:4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1:4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1:4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1:4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1:4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1:4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1:4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1:4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1:4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1:4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1:4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1:4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1:4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1:4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1:4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1:4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1:4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1:4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1:4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1:4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1:4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1:4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1:4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1:4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1:4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1:4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1:4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1:4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1:4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1:4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1:4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1:4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1:4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1:4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1:4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1:4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1:4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1:4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1:4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1:4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1:4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1:4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1:4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1:4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1:4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1:4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1:4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1:4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1:4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1:4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1:4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1:4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1:4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1:4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1:4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1:4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1:4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1:4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1:4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1:4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1:4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1:4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1:4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1:4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1:4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1:4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1:4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1:4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1:4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1: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1:4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1:4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1:4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1:4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1:4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1:4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1:4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1:4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1:4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1:4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1:4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1:4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1:4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1:4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1:4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1:4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1:4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1:4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1:4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1:4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1:4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1:4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1:4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1:4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1:4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1:4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1:4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1:4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1:4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1:4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1:4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1:4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1:4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1:4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1:4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1:4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1:4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1:4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1:4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1:4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1:4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1:4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1:4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1:4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1:4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1:4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1:4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1:4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1:4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1:4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1:4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1:4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1:4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1:4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1:4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1:4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1:4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1:4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1:4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1:4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1:4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1:4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1:4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1:4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1:4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1:4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1:4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1:4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1:4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1:4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1:4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1:4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1:4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1:4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1:4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1:4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1:4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1:4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1:4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1:4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1:4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1:4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1:4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1:4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1:4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1:4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1:4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1:4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1:4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1:4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1:4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1:4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1:4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1:4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1:4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1:4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1:4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1:4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1:4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1: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1:4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1:4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1:4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1:4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1:4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1:4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1:4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1:4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1:4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1:4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1:4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1:4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1:4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1:4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1:4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1:4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1:4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1:4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1:4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1:4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1:4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1:4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1:4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1:4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1:4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1:4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1:4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1:4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1:4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1:4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1:4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1:4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1:4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1:4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1:4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1:4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1:4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1:4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1:4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1:4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1:4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1:4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1:4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1:4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1:4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1:4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1:4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1:4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1:4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1:4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1:4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1:4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1:4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1:4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1:4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1:4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1:4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1:4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1:4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1:4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1:4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1:4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1:4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1:4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1:4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1:4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1:4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1:4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1:4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1:4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1:4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1:4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1:4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1:4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1:4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1:4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1:4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1:4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1:4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1:4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1:4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1:4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1:4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1:4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1:4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1:4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1:4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1:4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1:4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1:4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1:4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1:4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1:4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1:4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1:4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1:4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1:4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1:4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1:4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1: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1:4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1:4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1:4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1:4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1:4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1:4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1:4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1:4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1:4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1:4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1:4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1:4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1:4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1:4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1:4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1:4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1:4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1:4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1:4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1:4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1:4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1:4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1:4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1:4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1:4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1:4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1:4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1:4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1:4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1:4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1:4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1:4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1:4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1:4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1:4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1:4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1:4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1:4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1:4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1:4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1:4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1:4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1:4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1:4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1:4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1:4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1:4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1:4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1:4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1:4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1:4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1:4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1:4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1:4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1:4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1:4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1:4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1:4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1:4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1:4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1:4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1:4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1:4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1:4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1:4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1:4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1:4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1:4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1:4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1:4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1:4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1:4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1:4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1:4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1:4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1:4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1:4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1:4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1:4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1:4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1:4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1:4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1:4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1:4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1:4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1:4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1:4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1:4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1:4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1:4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1:4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1:4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1:4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1:4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1:4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1:4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1:4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1:4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1:4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1: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1:4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1:4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1:4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1:4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1:4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1:4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1:4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1:4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1:4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1:4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1:4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1:4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1:4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1:4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1:4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1:4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1:4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1:4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1:4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1:4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1:4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1:4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1:4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1:4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1:4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1:4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1:4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1:4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1:4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1:4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1:4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1:4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1:4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1:4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1:4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1:4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1:4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1:4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1:4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1:4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1:4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1:4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1:4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1:4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1:4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1:4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1:4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1:4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1:4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1:4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1:4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1:4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1:4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1:4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1:4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1:4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1:4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1:4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1:4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1:4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1:4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1:4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1:4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1:4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1:4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1:4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1:4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1:4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1:4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1:4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1:4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1:4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1:4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1:4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1:4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1:4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1:4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1:4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1:4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1:4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1:4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1:4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1:4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1:4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1:4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1:4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1:4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1:4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1:4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1:4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1:4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1:4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1:4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1:4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1:4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1:4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1:4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1:4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1:4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1: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1:4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1:4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1:4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1:4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1:4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1:4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1:4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1:4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1:4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1:4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1:4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1:4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1:4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1:4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1:4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1:4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1:4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1:4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1:4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1:4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1:4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1:4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1:4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1:4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1:4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1:4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1:4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1:4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1:4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1:4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1:4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1:4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1:4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1:4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1:4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1:4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1:4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1:4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1:4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1:4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1:4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1:4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1:4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1:4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1:4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1:4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1:4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1:4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1:4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1:4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1:4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1:4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1:4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1:4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1:4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1:4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1:4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1:4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1:4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1:4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1:4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1:4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1:4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1:4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1:4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1:4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1:4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1:4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1:4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1:4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1:4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1:4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1:4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1:4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1:4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1:4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1:4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1:4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1:4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1:4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1:4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1:4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1:4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1:4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1:4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1:4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1:4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1:4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1:4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1:4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1:4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1:4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1:4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1:4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1:4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1:4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1:4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1:4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1:4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1: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1:4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1:4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1:4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1:4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1:4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1:4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1:4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1:4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1:4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1:4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1:4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1:4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1:4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1:4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1:4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1:4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1:4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1:4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1:4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1:4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1:4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1:4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1:4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1:4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1:4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1:4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1:4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1:4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1:4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1:4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1:4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1:4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1:4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1:4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1:4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1:4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1:4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1:4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1:4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1:4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1:4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1:4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1:4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1:4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1:4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1:4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1:4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1:4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1:4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1:4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1:4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1:4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1:4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1:4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1:4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  <row r="1002" spans="1:46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</row>
    <row r="1003" spans="1:46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</row>
    <row r="1004" spans="1:46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</row>
    <row r="1005" spans="1:46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</row>
    <row r="1006" spans="1:4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</row>
    <row r="1007" spans="1:46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</row>
    <row r="1008" spans="1:46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</row>
    <row r="1009" spans="1:46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</row>
    <row r="1010" spans="1:46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</row>
    <row r="1011" spans="1:46" ht="15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</row>
    <row r="1012" spans="1:46" ht="15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</row>
    <row r="1013" spans="1:46" ht="15.7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</row>
    <row r="1014" spans="1:46" ht="15.7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</row>
    <row r="1015" spans="1:46" ht="15.7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</row>
    <row r="1016" spans="1:46" ht="15.7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</row>
    <row r="1017" spans="1:46" ht="15.7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</row>
    <row r="1018" spans="1:46" ht="15.7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</row>
    <row r="1019" spans="1:46" ht="15.7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</row>
    <row r="1020" spans="1:46" ht="15.7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</row>
    <row r="1021" spans="1:46" ht="15.75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</row>
    <row r="1022" spans="1:46" ht="15.75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</row>
    <row r="1023" spans="1:46" ht="15.75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</row>
    <row r="1024" spans="1:46" ht="15.75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</row>
    <row r="1025" spans="1:46" ht="15.75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</row>
    <row r="1026" spans="1:46" ht="15.75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</row>
    <row r="1027" spans="1:46" ht="15.75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</row>
    <row r="1028" spans="1:46" ht="15.75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</row>
    <row r="1029" spans="1:46" ht="15.75" customHeigh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</row>
    <row r="1030" spans="1:46" ht="15.75" customHeigh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</row>
    <row r="1031" spans="1:46" ht="15.75" customHeigh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</row>
    <row r="1032" spans="1:46" ht="15.75" customHeight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</row>
    <row r="1033" spans="1:46" ht="15.75" customHeight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</row>
    <row r="1034" spans="1:46" ht="15.75" customHeight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</row>
    <row r="1035" spans="1:46" ht="15.75" customHeight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</row>
    <row r="1036" spans="1:46" ht="15.75" customHeight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</row>
    <row r="1037" spans="1:46" ht="15.75" customHeight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</row>
    <row r="1038" spans="1:46" ht="15.75" customHeight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</row>
    <row r="1039" spans="1:46" ht="15.75" customHeight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</row>
    <row r="1040" spans="1:46" ht="15.75" customHeight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</row>
    <row r="1041" spans="1:46" ht="15.75" customHeight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</row>
    <row r="1042" spans="1:46" ht="15.75" customHeight="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</row>
    <row r="1043" spans="1:46" ht="15.75" customHeight="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</row>
    <row r="1044" spans="1:46" ht="15.75" customHeight="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</row>
    <row r="1045" spans="1:46" ht="15.75" customHeight="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</row>
    <row r="1046" spans="1:46" ht="15.75" customHeight="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</row>
    <row r="1047" spans="1:46" ht="15.75" customHeight="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</row>
    <row r="1048" spans="1:46" ht="15.75" customHeight="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</row>
    <row r="1049" spans="1:46" ht="15.75" customHeight="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</row>
    <row r="1050" spans="1:46" ht="15.75" customHeight="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</row>
    <row r="1051" spans="1:46" ht="15.75" customHeight="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</row>
    <row r="1052" spans="1:46" ht="15.75" customHeight="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</row>
    <row r="1053" spans="1:46" ht="15.75" customHeight="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</row>
    <row r="1054" spans="1:46" ht="15.75" customHeight="1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</row>
    <row r="1055" spans="1:46" ht="15.75" customHeight="1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</row>
    <row r="1056" spans="1:46" ht="15.75" customHeight="1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</row>
    <row r="1057" spans="1:46" ht="15.75" customHeight="1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</row>
    <row r="1058" spans="1:46" ht="15.75" customHeight="1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</row>
    <row r="1059" spans="1:46" ht="15.75" customHeight="1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</row>
    <row r="1060" spans="1:46" ht="15.75" customHeight="1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</row>
    <row r="1061" spans="1:46" ht="15.75" customHeight="1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</row>
    <row r="1062" spans="1:46" ht="15.75" customHeight="1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</row>
    <row r="1063" spans="1:46" ht="15.75" customHeight="1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</row>
    <row r="1064" spans="1:46" ht="15.75" customHeight="1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</row>
  </sheetData>
  <mergeCells count="10">
    <mergeCell ref="I12:K13"/>
    <mergeCell ref="A3:K3"/>
    <mergeCell ref="Z5:AT5"/>
    <mergeCell ref="A7:A9"/>
    <mergeCell ref="B7:B9"/>
    <mergeCell ref="C7:H7"/>
    <mergeCell ref="I7:K7"/>
    <mergeCell ref="C8:E8"/>
    <mergeCell ref="F8:H8"/>
    <mergeCell ref="I8:K8"/>
  </mergeCells>
  <printOptions horizontalCentered="1"/>
  <pageMargins left="1.1811023622047245" right="0.78740157480314965" top="0.19685039370078741" bottom="0.9055118110236221" header="0" footer="0"/>
  <pageSetup paperSize="9" scale="39" orientation="portrait" r:id="rId1"/>
  <headerFooter>
    <oddFooter>&amp;R112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5.Kunjungan</vt:lpstr>
      <vt:lpstr>'5.Kunjungan'!Z_17D7C177_D9B1_4DC1_9138_49FE7AC6BB29_.wvu.PrintArea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2025-11-12T04:24:37Z</cp:lastPrinted>
  <dcterms:created xsi:type="dcterms:W3CDTF">2025-11-12T04:23:51Z</dcterms:created>
  <dcterms:modified xsi:type="dcterms:W3CDTF">2025-11-12T04:25:23Z</dcterms:modified>
</cp:coreProperties>
</file>